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6645" tabRatio="709" activeTab="10"/>
  </bookViews>
  <sheets>
    <sheet name="1m" sheetId="1" r:id="rId1"/>
    <sheet name="1am" sheetId="2" r:id="rId2"/>
    <sheet name="1bm" sheetId="3" r:id="rId3"/>
    <sheet name="2m" sheetId="4" r:id="rId4"/>
    <sheet name="2am" sheetId="5" r:id="rId5"/>
    <sheet name="2bm" sheetId="6" r:id="rId6"/>
    <sheet name="3am" sheetId="7" state="hidden" r:id="rId7"/>
    <sheet name="3bm" sheetId="8" r:id="rId8"/>
    <sheet name="4m" sheetId="9" state="hidden" r:id="rId9"/>
    <sheet name="4am" sheetId="10" r:id="rId10"/>
    <sheet name="4bm" sheetId="11" r:id="rId11"/>
    <sheet name="5m" sheetId="12" state="hidden" r:id="rId12"/>
    <sheet name="6m" sheetId="13" state="hidden" r:id="rId13"/>
    <sheet name="7m" sheetId="14" state="hidden" r:id="rId14"/>
    <sheet name="8m" sheetId="15" state="hidden" r:id="rId15"/>
    <sheet name="9m" sheetId="16" state="hidden" r:id="rId16"/>
    <sheet name="10m" sheetId="17" state="hidden" r:id="rId17"/>
    <sheet name="11m" sheetId="18" state="hidden" r:id="rId18"/>
    <sheet name="12m" sheetId="19" state="hidden" r:id="rId19"/>
    <sheet name="13m" sheetId="20" state="hidden" r:id="rId20"/>
    <sheet name="14m" sheetId="21" r:id="rId21"/>
    <sheet name="19m" sheetId="22" state="hidden" r:id="rId22"/>
    <sheet name="16m" sheetId="23" state="hidden" r:id="rId23"/>
    <sheet name="hitelkorlát" sheetId="24" state="hidden" r:id="rId24"/>
    <sheet name="841126-116-Önk. igazgatás" sheetId="25" state="hidden" r:id="rId25"/>
    <sheet name="Polg. Hiv" sheetId="26" state="hidden" r:id="rId26"/>
    <sheet name="841126-PHiv" sheetId="27" state="hidden" r:id="rId27"/>
    <sheet name="Bérek2013" sheetId="28" state="hidden" r:id="rId28"/>
    <sheet name="841125-115-Elsőfokú ép. hatóság" sheetId="29" state="hidden" r:id="rId29"/>
    <sheet name="841133-adó beszedése" sheetId="30" state="hidden" r:id="rId30"/>
    <sheet name="841112-117-Képviselőtestület" sheetId="31" state="hidden" r:id="rId31"/>
    <sheet name="841126-166-Többc.munk.sz." sheetId="32" state="hidden" r:id="rId32"/>
    <sheet name="Bérek önk." sheetId="33" state="hidden" r:id="rId33"/>
    <sheet name="862101-Háziorvosi alapellátás" sheetId="34" state="hidden" r:id="rId34"/>
    <sheet name="869041-Védőnő1" sheetId="35" state="hidden" r:id="rId35"/>
    <sheet name="869042-Védőnő2" sheetId="36" state="hidden" r:id="rId36"/>
    <sheet name="Önk." sheetId="37" state="hidden" r:id="rId37"/>
    <sheet name="890441-Közcélú 2012" sheetId="38" state="hidden" r:id="rId38"/>
    <sheet name="680001-Lakásgazd. " sheetId="39" state="hidden" r:id="rId39"/>
    <sheet name="841403- Városgazdálkodás" sheetId="40" state="hidden" r:id="rId40"/>
    <sheet name="841402-Közvilágítás" sheetId="41" state="hidden" r:id="rId41"/>
    <sheet name="Szennyvíztársulás" sheetId="42" state="hidden" r:id="rId42"/>
    <sheet name="682002-Nem lakóingatlanok" sheetId="43" state="hidden" r:id="rId43"/>
    <sheet name="841126-Finanszírozási műveletek" sheetId="44" state="hidden" r:id="rId44"/>
    <sheet name="842531-Polgári védelem" sheetId="45" state="hidden" r:id="rId45"/>
    <sheet name="931102-172-Sportcsarnok" sheetId="46" state="hidden" r:id="rId46"/>
    <sheet name="602000-CSTV" sheetId="47" state="hidden" r:id="rId47"/>
    <sheet name="901501-Közösségi ház " sheetId="48" state="hidden" r:id="rId48"/>
    <sheet name="882129-Öregek ebédje" sheetId="49" state="hidden" r:id="rId49"/>
    <sheet name="-Rendsz.szoc.pénz.ell." sheetId="50" state="hidden" r:id="rId50"/>
    <sheet name="882117-Rendsz.gyv.pénz.ell." sheetId="51" state="hidden" r:id="rId51"/>
    <sheet name="882119 - Óvodáztatási támogatás" sheetId="52" state="hidden" r:id="rId52"/>
    <sheet name="882111-Munkanélküli ellátások" sheetId="53" state="hidden" r:id="rId53"/>
    <sheet name="-Eseti pénz.szoc.ell." sheetId="54" state="hidden" r:id="rId54"/>
    <sheet name="882124-Eseti pénz.gyv.ell" sheetId="55" state="hidden" r:id="rId55"/>
    <sheet name="rehabilitációs hj " sheetId="56" state="hidden" r:id="rId56"/>
    <sheet name="bejáró 2012" sheetId="57" state="hidden" r:id="rId57"/>
    <sheet name="Körjegyzőség 2013" sheetId="58" state="hidden" r:id="rId58"/>
    <sheet name="pénzmaradvány" sheetId="59" state="hidden" r:id="rId59"/>
    <sheet name="Városgazd" sheetId="60" state="hidden" r:id="rId60"/>
    <sheet name="Int-ek" sheetId="61" state="hidden" r:id="rId61"/>
    <sheet name="841901-Önk saját bevételei" sheetId="62" state="hidden" r:id="rId62"/>
    <sheet name="Fejlesztési kiadások" sheetId="63" state="hidden" r:id="rId63"/>
    <sheet name="Fejlesztési bevételek" sheetId="64" state="hidden" r:id="rId64"/>
  </sheets>
  <externalReferences>
    <externalReference r:id="rId67"/>
  </externalReferences>
  <definedNames>
    <definedName name="_xlnm._FilterDatabase" localSheetId="27" hidden="1">'Bérek2013'!$B$1:$C$47</definedName>
    <definedName name="CRITERIA" localSheetId="32">'Bérek önk.'!$B$2</definedName>
    <definedName name="_xlnm.Print_Area" localSheetId="16">'10m'!$A$1:$K$30</definedName>
    <definedName name="_xlnm.Print_Area" localSheetId="18">'12m'!$A$1:$K$31</definedName>
    <definedName name="_xlnm.Print_Area" localSheetId="19">'13m'!$A$1:$K$30</definedName>
    <definedName name="_xlnm.Print_Area" localSheetId="20">'14m'!$A$1:$I$65</definedName>
    <definedName name="_xlnm.Print_Area" localSheetId="1">'1am'!$A$1:$O$44</definedName>
    <definedName name="_xlnm.Print_Area" localSheetId="2">'1bm'!$A$1:$O$22</definedName>
    <definedName name="_xlnm.Print_Area" localSheetId="0">'1m'!$A$1:$E$62</definedName>
    <definedName name="_xlnm.Print_Area" localSheetId="5">'2bm'!$A$1:$U$20</definedName>
    <definedName name="_xlnm.Print_Area" localSheetId="3">'2m'!$A$1:$C$54</definedName>
    <definedName name="_xlnm.Print_Area" localSheetId="6">'3am'!$A$1:$C$36</definedName>
    <definedName name="_xlnm.Print_Area" localSheetId="7">'3bm'!$A$1:$D$41</definedName>
    <definedName name="_xlnm.Print_Area" localSheetId="9">'4am'!$A$1:$C$49</definedName>
    <definedName name="_xlnm.Print_Area" localSheetId="10">'4bm'!$A$1:$G$62</definedName>
    <definedName name="_xlnm.Print_Area" localSheetId="8">'4m'!$A$1:$M$29</definedName>
    <definedName name="_xlnm.Print_Area" localSheetId="38">'680001-Lakásgazd. '!$A$1:$E$33</definedName>
    <definedName name="_xlnm.Print_Area" localSheetId="42">'682002-Nem lakóingatlanok'!$A$1:$E$30</definedName>
    <definedName name="_xlnm.Print_Area" localSheetId="12">'6m'!$A$1:$E$26</definedName>
    <definedName name="_xlnm.Print_Area" localSheetId="13">'7m'!$A$1:$G$20</definedName>
    <definedName name="_xlnm.Print_Area" localSheetId="30">'841112-117-Képviselőtestület'!$A$1:$E$64</definedName>
    <definedName name="_xlnm.Print_Area" localSheetId="28">'841125-115-Elsőfokú ép. hatóság'!$A$1:$E$49</definedName>
    <definedName name="_xlnm.Print_Area" localSheetId="24">'841126-116-Önk. igazgatás'!$A$1:$E$158</definedName>
    <definedName name="_xlnm.Print_Area" localSheetId="31">'841126-166-Többc.munk.sz.'!$A$1:$E$37</definedName>
    <definedName name="_xlnm.Print_Area" localSheetId="43">'841126-Finanszírozási műveletek'!$A$1:$D$27</definedName>
    <definedName name="_xlnm.Print_Area" localSheetId="26">'841126-PHiv'!$A$1:$G$115</definedName>
    <definedName name="_xlnm.Print_Area" localSheetId="61">'841901-Önk saját bevételei'!$A$1:$E$69</definedName>
    <definedName name="_xlnm.Print_Area" localSheetId="33">'862101-Háziorvosi alapellátás'!$A$1:$E$46</definedName>
    <definedName name="_xlnm.Print_Area" localSheetId="48">'882129-Öregek ebédje'!$A$1:$E$33</definedName>
    <definedName name="_xlnm.Print_Area" localSheetId="14">'8m'!$A$1:$P$27</definedName>
    <definedName name="_xlnm.Print_Area" localSheetId="47">'901501-Közösségi ház '!$A$1:$E$37</definedName>
    <definedName name="_xlnm.Print_Area" localSheetId="15">'9m'!$A$1:$E$14</definedName>
    <definedName name="_xlnm.Print_Area" localSheetId="56">'bejáró 2012'!$A$1:$H$36</definedName>
    <definedName name="_xlnm.Print_Area" localSheetId="27">'Bérek2013'!$A$1:$AB$50</definedName>
    <definedName name="_xlnm.Print_Area" localSheetId="63">'Fejlesztési bevételek'!$A$1:$E$66</definedName>
    <definedName name="_xlnm.Print_Area" localSheetId="62">'Fejlesztési kiadások'!$A$1:$E$109</definedName>
    <definedName name="_xlnm.Print_Area" localSheetId="23">'hitelkorlát'!$A$1:$D$31</definedName>
    <definedName name="_xlnm.Print_Area" localSheetId="49">'-Rendsz.szoc.pénz.ell.'!$A$1:$E$37</definedName>
  </definedNames>
  <calcPr fullCalcOnLoad="1"/>
</workbook>
</file>

<file path=xl/sharedStrings.xml><?xml version="1.0" encoding="utf-8"?>
<sst xmlns="http://schemas.openxmlformats.org/spreadsheetml/2006/main" count="2620" uniqueCount="1549">
  <si>
    <t>869042- Védőnői szolgálat</t>
  </si>
  <si>
    <t>Fülöpné</t>
  </si>
  <si>
    <t>Polaneczkiné</t>
  </si>
  <si>
    <t>Egyéb üzemeltetés fenntartás (rezsi ktg 33000*12, takarítás 15000*12)</t>
  </si>
  <si>
    <t>Szakmai anyag beszerzése</t>
  </si>
  <si>
    <t>Irodaszer</t>
  </si>
  <si>
    <t>Díjak, egyéb befizetések (biztosítás</t>
  </si>
  <si>
    <t>Egyéb üzemeltetés fenntartás (rezsi ktg 20000*12, takarítás 5000*12)</t>
  </si>
  <si>
    <t>licence, program hsználati díj 100.000 Ft</t>
  </si>
  <si>
    <t>Szakmai anyag beszerzése 5000/hó</t>
  </si>
  <si>
    <t>értékteremtő</t>
  </si>
  <si>
    <t>munka és védőruha</t>
  </si>
  <si>
    <t>Belvíz</t>
  </si>
  <si>
    <t>kisértékű tárgyi eszk.</t>
  </si>
  <si>
    <t>egyéb dologi</t>
  </si>
  <si>
    <t>illegális hulladék</t>
  </si>
  <si>
    <t>közút</t>
  </si>
  <si>
    <t>mezőgazdasági</t>
  </si>
  <si>
    <t>mezőgazdasági földutak</t>
  </si>
  <si>
    <t>Nagyértékű t. esz. Beszerzése</t>
  </si>
  <si>
    <t>díjak, egyéb befizetsek</t>
  </si>
  <si>
    <t>Start munka</t>
  </si>
  <si>
    <t>=</t>
  </si>
  <si>
    <t>6 órás program</t>
  </si>
  <si>
    <t>Közfoglalkoztatás</t>
  </si>
  <si>
    <t>Védőnői szolgálat</t>
  </si>
  <si>
    <t>Pedagógiai Szakszolgálat</t>
  </si>
  <si>
    <t>51 Rendszeres és nem rendszeres személyi juttatások</t>
  </si>
  <si>
    <t>Ft-ban</t>
  </si>
  <si>
    <t>eFt-ban</t>
  </si>
  <si>
    <t>Köztisztviselők alapilletménye</t>
  </si>
  <si>
    <t>Köztisztviselők illetménykiegészítése</t>
  </si>
  <si>
    <t>Közalkalmazottak alapilletménye</t>
  </si>
  <si>
    <t>Köztisztviselők nyelvpótléka</t>
  </si>
  <si>
    <t>Kulcsszám</t>
  </si>
  <si>
    <t>Köztisztviselő napidíja</t>
  </si>
  <si>
    <t>(5131912) Köztisztviselők alapvizsga, szakvizsga</t>
  </si>
  <si>
    <t>Köztisztviselők egyéb sajátos juttatásai</t>
  </si>
  <si>
    <t>Köztisztviselők ruházati költségtérítése</t>
  </si>
  <si>
    <t>Köztisztviselők közlekedési költségtérítése</t>
  </si>
  <si>
    <t>Köztisztviselők étkezési hozzásjárulása</t>
  </si>
  <si>
    <t>Eötvös, II.Rákóczi, Szakszolgálat</t>
  </si>
  <si>
    <t>Városi Óvodák</t>
  </si>
  <si>
    <t>Intézmény saját bevétele</t>
  </si>
  <si>
    <t>Többc.Társ.-tól logopédiai normatíva</t>
  </si>
  <si>
    <t>Többc.Társ.-tól gyógytestnevelési normatíva</t>
  </si>
  <si>
    <t>Működési bevétel összesen</t>
  </si>
  <si>
    <t>Működési kiadások és bevételek különbözete</t>
  </si>
  <si>
    <t>Arany J. ösztöndíj</t>
  </si>
  <si>
    <t>Somogyudvarhelyi Önk.-tól tagintézmény költségeire</t>
  </si>
  <si>
    <t>Sportcsarnokra (PPP)</t>
  </si>
  <si>
    <t>Egyéb üzemeltetési, fenntartási szolgáltatások GA-BU Média Kft.</t>
  </si>
  <si>
    <t>Önkormányzat központosított támogatása</t>
  </si>
  <si>
    <t>Szoc bérlak ép felvett hitel</t>
  </si>
  <si>
    <t>MFB hitel utak javítására</t>
  </si>
  <si>
    <t>Működési bevétel</t>
  </si>
  <si>
    <t>Önkormányzatok Önerő hozzájárulása</t>
  </si>
  <si>
    <t>Áfa (Önerő)</t>
  </si>
  <si>
    <t>Szennyvíz Eu Önerő Alap támogatás</t>
  </si>
  <si>
    <t>Szennyvíz KEOP II.ütem</t>
  </si>
  <si>
    <t>Szennyvíz KEOP II.ütem önk-októl önerőre átvett</t>
  </si>
  <si>
    <t>Víziközmű használati díj áfa befizetése</t>
  </si>
  <si>
    <t>Fejlesztési pályázatok önerejére</t>
  </si>
  <si>
    <t>Fehalmozási kiadások összesen</t>
  </si>
  <si>
    <t>dologi</t>
  </si>
  <si>
    <t>Működési kiadások összesen</t>
  </si>
  <si>
    <t>Intézményi költségvetési kiadások</t>
  </si>
  <si>
    <t>Karbantartás, takarítás bér, járulék, dologi</t>
  </si>
  <si>
    <t>Áttanításra átvett pénz Gyékényes</t>
  </si>
  <si>
    <t>Áttanításra átvett pénz Somogyudvarhely</t>
  </si>
  <si>
    <t>Mocsári László</t>
  </si>
  <si>
    <t>Hatóság</t>
  </si>
  <si>
    <t>Beruházás</t>
  </si>
  <si>
    <t>Koordináció</t>
  </si>
  <si>
    <t>Adó</t>
  </si>
  <si>
    <t>Közgazd</t>
  </si>
  <si>
    <t>Jegyző</t>
  </si>
  <si>
    <t>Polgármester</t>
  </si>
  <si>
    <t>Hatóság - Építés</t>
  </si>
  <si>
    <t>név</t>
  </si>
  <si>
    <t>Könyv</t>
  </si>
  <si>
    <t>lejárt szavatosságú cseréje és hiányzók potlása</t>
  </si>
  <si>
    <t>Irodagép 200000Ft/hó+25%</t>
  </si>
  <si>
    <t>Europrofil 10000Ft/hó+25%</t>
  </si>
  <si>
    <t>fénymásoló 20000+20000Ft/hó</t>
  </si>
  <si>
    <t>közjegyzői díjak  20db*1500Ft/db</t>
  </si>
  <si>
    <t>Pénzügyi szolgáltatások kiadásai</t>
  </si>
  <si>
    <t>karbantartáshoz szükséges anyagok, eszközök</t>
  </si>
  <si>
    <t>koszorúk, virágok</t>
  </si>
  <si>
    <t>Díjak, egyéb befizetések</t>
  </si>
  <si>
    <t xml:space="preserve">Köztisztviselők vezetői pótléka </t>
  </si>
  <si>
    <t>2/2010. (II.5) Kt rendelet</t>
  </si>
  <si>
    <t>Keresetkiegészítés közalkalmazottak (2 %)</t>
  </si>
  <si>
    <t>Munkavégzéshez kapcsolódó juttatások</t>
  </si>
  <si>
    <t>Személyhez kapcsolódó költségtérítések és hozzájárulások</t>
  </si>
  <si>
    <t>Munkavégzéshez kapcsolodó juttatások</t>
  </si>
  <si>
    <t>vagyonbiztosítás          489568Ft x 4 negyedév</t>
  </si>
  <si>
    <t>munkáltatói felelősségbiztosítás 34003Ft/negyedév</t>
  </si>
  <si>
    <t>Átengedett központi adók</t>
  </si>
  <si>
    <t>Különféle bírságok</t>
  </si>
  <si>
    <t>Vilkor 1200 eft/év</t>
  </si>
  <si>
    <t>kieg</t>
  </si>
  <si>
    <t>pótlék</t>
  </si>
  <si>
    <t xml:space="preserve"> fűtés karbantartása</t>
  </si>
  <si>
    <t>tisztítószer 30000Ft/hó</t>
  </si>
  <si>
    <t>bútor, textília,zászló</t>
  </si>
  <si>
    <t>Egyéb üzemeltetés fenntartás</t>
  </si>
  <si>
    <t>862102 - III. körzet</t>
  </si>
  <si>
    <t xml:space="preserve">Pádár Zsoltné </t>
  </si>
  <si>
    <t>Közalkalmazottak ill. kieg</t>
  </si>
  <si>
    <t>177/2010(XII.15) Kt hat orvosnak 220.500 Ft/hó kieg</t>
  </si>
  <si>
    <t>Közalakalmazottak utazási költségtérítése</t>
  </si>
  <si>
    <t>orvos Kt hat 50000Ft/hó</t>
  </si>
  <si>
    <t>Szabálysértési bírság</t>
  </si>
  <si>
    <t>Helyszíni és szabálysértési bírság</t>
  </si>
  <si>
    <t>Éleslátást biztosító szemüveg (20 fő X 38.650 Ft X 0,3)</t>
  </si>
  <si>
    <t>Egyéb megbízási díjak (tolmácsolás, szakértői díj stb.)</t>
  </si>
  <si>
    <t>Intézmények fűtés ellenőrzése (1 fő 50.000 Ft/hó)</t>
  </si>
  <si>
    <t xml:space="preserve">továbbképzés oktatás </t>
  </si>
  <si>
    <t>dr Bojtor Éva 2010.01.01 H1 besorolás 129500</t>
  </si>
  <si>
    <t>személyügy megbízási díja (1 fő 100000Ft/fő/hó)</t>
  </si>
  <si>
    <t>Alapilletmény</t>
  </si>
  <si>
    <t>végkielégítés</t>
  </si>
  <si>
    <t>Horváth József dr.</t>
  </si>
  <si>
    <t>Dingó János</t>
  </si>
  <si>
    <t>vez pótlék</t>
  </si>
  <si>
    <t>Pádár Zsoltné</t>
  </si>
  <si>
    <t>III. körzet</t>
  </si>
  <si>
    <t>Önkormányzati</t>
  </si>
  <si>
    <t xml:space="preserve">Teljes munkaidős köztisztviselők </t>
  </si>
  <si>
    <t>Költségvetés 2012.</t>
  </si>
  <si>
    <t>Villamosenergia-szolgáltatás díjak (ami nem int)</t>
  </si>
  <si>
    <t>Köztisztviselők étkezési hozzájárulása</t>
  </si>
  <si>
    <t>(1 fő,alapilletmény, étkezési hj., jubileumi jutalom)</t>
  </si>
  <si>
    <t>FJ20km; F-PA 26km*9Ft/km*20nap*12;SzL18146*12; CsÁ 55km</t>
  </si>
  <si>
    <t>Szabóné Molnár Zsuzsanna</t>
  </si>
  <si>
    <t>Vörös Mátyás</t>
  </si>
  <si>
    <t>Költségvetés 2011.</t>
  </si>
  <si>
    <t>Állományba nem tartozók megbízási díja</t>
  </si>
  <si>
    <t>Áfa</t>
  </si>
  <si>
    <t>dr Porkoláb Lajos</t>
  </si>
  <si>
    <t>dr Kovács Tamás</t>
  </si>
  <si>
    <t>0000300</t>
  </si>
  <si>
    <t>1421600</t>
  </si>
  <si>
    <t>Nyugdíjbiztosítási járulék</t>
  </si>
  <si>
    <t>Működési bevételek</t>
  </si>
  <si>
    <t>Teljes munkaidős egyéb bérrendszer</t>
  </si>
  <si>
    <t>Prémium, megbízás, társadalmi megbíz</t>
  </si>
  <si>
    <t>Vásárolt term. és szolg. Áfá-ja 5%</t>
  </si>
  <si>
    <t>Vásárolt term. és szolg. Áfá-ja 27 %</t>
  </si>
  <si>
    <t>LDSZ 2100Ft/hó+27%</t>
  </si>
  <si>
    <t>Áht-n belül átadott ESZA</t>
  </si>
  <si>
    <t xml:space="preserve">illkieg </t>
  </si>
  <si>
    <t>egyéb felt köt pótlék</t>
  </si>
  <si>
    <t>Evangélikus Gyülekezet támogatása</t>
  </si>
  <si>
    <t>Csurgói Református Gyülekezet támogatása</t>
  </si>
  <si>
    <t>Csurgó-alsoki Református Gyülekezet támogatása</t>
  </si>
  <si>
    <t>Rendőrség támogatása</t>
  </si>
  <si>
    <t>KÜLÖNFÉLE ELSZÁMOLÁSOK ÖSSZESEN:</t>
  </si>
  <si>
    <t>ezer Ft-ban</t>
  </si>
  <si>
    <t>Eredeti előirányzat</t>
  </si>
  <si>
    <t>(adatok eFt-ban)</t>
  </si>
  <si>
    <t>DOLOGI KIADÁSOK ÖSSZESEN:</t>
  </si>
  <si>
    <t>MŰKÖDÉSI KIADÁSOK</t>
  </si>
  <si>
    <t>MŰKÖDÉSI BEVÉTELEK</t>
  </si>
  <si>
    <t>soros: 2013.03.16</t>
  </si>
  <si>
    <t>soros: 2013.12.31</t>
  </si>
  <si>
    <t>soros: 2013.01.08</t>
  </si>
  <si>
    <t>soros: 2013.02.14</t>
  </si>
  <si>
    <t>soros: 2013.07.02</t>
  </si>
  <si>
    <t>soros: 2013.08.24</t>
  </si>
  <si>
    <t>soros: 2013.04.07</t>
  </si>
  <si>
    <t>soros: 2013.09.29</t>
  </si>
  <si>
    <t>soros: 2013.03.05</t>
  </si>
  <si>
    <t>Költségvetés 2013.</t>
  </si>
  <si>
    <t>841126 - 116</t>
  </si>
  <si>
    <t>841126, 841125, 841133</t>
  </si>
  <si>
    <t>MŰKÖDÉSI CÉLÚ TÁMOGATÁS ÉRTÉKŰ BEV. ÖSSZESEN:</t>
  </si>
  <si>
    <t>Egyéb bérrendszer hatálya alá tartozók munkabére</t>
  </si>
  <si>
    <t>Árvainé Varga Hajnalka</t>
  </si>
  <si>
    <t>Csók Eszter</t>
  </si>
  <si>
    <t>Füstös János</t>
  </si>
  <si>
    <t>Levák Eszter</t>
  </si>
  <si>
    <t>KÖLTSÉGVETÉSI TÁMOGATÁSOK ÖSSZESEN:</t>
  </si>
  <si>
    <t>ELLÁTOTTAK PÉNZBELI JUTTATÁSAI</t>
  </si>
  <si>
    <t>FHT (80 %)-os</t>
  </si>
  <si>
    <t>50 fő X 8.000 Ft</t>
  </si>
  <si>
    <t xml:space="preserve">(600 fő x 2000 Ft/fő/alk x 3 alk) </t>
  </si>
  <si>
    <t>Ápolási díj (méltányosságból)</t>
  </si>
  <si>
    <t>ELLÁTOTTAK PÉNZBELI JUTTATÁSAI ÖSSZESEN:</t>
  </si>
  <si>
    <t>KÜLÖNFÉLE ELSZÁMOLÁSOK</t>
  </si>
  <si>
    <t>Szabadidősport Egyesület</t>
  </si>
  <si>
    <t>Bölcsöde</t>
  </si>
  <si>
    <t>Ssz.</t>
  </si>
  <si>
    <t xml:space="preserve">SZJA helyben maradó </t>
  </si>
  <si>
    <t>Környezetvédelmi bírság</t>
  </si>
  <si>
    <t>Gépjárműadó</t>
  </si>
  <si>
    <t>Iparűzési adó</t>
  </si>
  <si>
    <t>Pótlékok, bírságok</t>
  </si>
  <si>
    <t>Államháztartáson kívülre fizetett kamatok</t>
  </si>
  <si>
    <t>Gyógyszer, vegyszer</t>
  </si>
  <si>
    <t>Könyv, folyóirat, egyéb információhordozó</t>
  </si>
  <si>
    <t>Hajtó- és kenőanyag</t>
  </si>
  <si>
    <t>Egyéb dologi kiadások</t>
  </si>
  <si>
    <t>Beszámítás összege</t>
  </si>
  <si>
    <t xml:space="preserve"> - Bölcsődei ellátás</t>
  </si>
  <si>
    <t xml:space="preserve"> - Rendszeres szoc segély 90%-ának normatív része</t>
  </si>
  <si>
    <t xml:space="preserve"> - Rendszeres gyvt. 100%-ának normatív része</t>
  </si>
  <si>
    <t xml:space="preserve"> - Lakásfenntartási támogatás 90%-ának normatív része</t>
  </si>
  <si>
    <t xml:space="preserve"> - Foglalkoztatást helyettesítő támogatás (80 %)</t>
  </si>
  <si>
    <t xml:space="preserve"> - Óvodáztatási támogatás (100)</t>
  </si>
  <si>
    <t xml:space="preserve"> - Közcélú foglalkozatatás támogatása normatív része</t>
  </si>
  <si>
    <t xml:space="preserve">Önkormányzati hivatal működésének támogatása </t>
  </si>
  <si>
    <t>Körjegyzőség 2013.</t>
  </si>
  <si>
    <t xml:space="preserve">Közös hiv. létszám: </t>
  </si>
  <si>
    <t>3,042393231 fő</t>
  </si>
  <si>
    <t>Elismert bér+jár.</t>
  </si>
  <si>
    <t>4.580 e Ft/fő</t>
  </si>
  <si>
    <t>Teljes költség:</t>
  </si>
  <si>
    <t>Település neve</t>
  </si>
  <si>
    <t>Alapköltség</t>
  </si>
  <si>
    <t>Létszáma alapján</t>
  </si>
  <si>
    <t>Havi ütemezés</t>
  </si>
  <si>
    <t>Teljes ktg.- Alap k.</t>
  </si>
  <si>
    <t>Polgármesteri Alap</t>
  </si>
  <si>
    <t>Sport utánpótlás támogatása</t>
  </si>
  <si>
    <t>CsTK támogatása</t>
  </si>
  <si>
    <t>Szentlélek Római Katolikus Plébánia támogatása</t>
  </si>
  <si>
    <t>Jézus Szíve Római Katolikus Plébánia támogatása</t>
  </si>
  <si>
    <t xml:space="preserve">MFB hitel utak felújítására (2006.) tőketörlesztés </t>
  </si>
  <si>
    <t xml:space="preserve">MFB hitel Mesevár Óvoda, Eötvös Iskola felújítására tőketörlesztés </t>
  </si>
  <si>
    <t xml:space="preserve">Körforgalom önerejére MFB hitel tőketörlesztés </t>
  </si>
  <si>
    <t>Hosszúlejáratú hitelek tőketörlesztése összesen</t>
  </si>
  <si>
    <t>Volt Napsugár Szöv. Ingatlanvásárlására felvett hitel (36 millió Ft)kamat törlesztése</t>
  </si>
  <si>
    <t>Korábbi hitelek kiváltására felvett hitel (77.478 e Ft) )kamat törlesztése</t>
  </si>
  <si>
    <t>MFB hitel leaderes felújítások TEUT felújításo könerejére kamat törlesztés</t>
  </si>
  <si>
    <t xml:space="preserve">MFB hitel utak felújítására (2006.) kamat törlesztés </t>
  </si>
  <si>
    <t xml:space="preserve">MFB hitel Mesevár Óvoda, Eötvös Iskola felújítására kamat törlesztés </t>
  </si>
  <si>
    <t xml:space="preserve">Körforgalom önerejére MFB hitel kamat törlesztés </t>
  </si>
  <si>
    <t xml:space="preserve">VII. Lízingdíjak </t>
  </si>
  <si>
    <t>Eötvös iskola, Közösségi Ház fűtéskorszerűsítés lízingdíja</t>
  </si>
  <si>
    <t>Eötvös iskola, Közösségi Ház fűtéskorszerűsítés lízingdíja áfa</t>
  </si>
  <si>
    <t xml:space="preserve">Lízingdíjak </t>
  </si>
  <si>
    <t>Sportcsarnok fenntartói szolgáltatási díj</t>
  </si>
  <si>
    <t>Sportcsarnok fenntartói szolgáltatási díj áfa</t>
  </si>
  <si>
    <t>Sportcsarnok fenntartói szolgáltatási díj összesen</t>
  </si>
  <si>
    <t>Fejlesztési pénzmaradvány</t>
  </si>
  <si>
    <t>IPA</t>
  </si>
  <si>
    <t>Városrehab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</si>
  <si>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</si>
  <si>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</si>
  <si>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</si>
  <si>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</si>
  <si>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2. fejlesztési célú hiteltörlesztés</t>
  </si>
  <si>
    <t>3. Pénzügyi befektetések bevételei</t>
  </si>
  <si>
    <t>4. melléklet</t>
  </si>
  <si>
    <t>cafeteria</t>
  </si>
  <si>
    <t>Önkormányzati lakások lakbér bev.</t>
  </si>
  <si>
    <t>Víz-, csatornadíj bevételek (önk. lakások)</t>
  </si>
  <si>
    <t>Gázdíj (önk. lakások)</t>
  </si>
  <si>
    <t>Helységbérleti díjak</t>
  </si>
  <si>
    <t>Városi rendezvényekrendezvények)</t>
  </si>
  <si>
    <t>Működési célú tám értékú kiadás</t>
  </si>
  <si>
    <t>Működési célú pe átad</t>
  </si>
  <si>
    <t>mód.</t>
  </si>
  <si>
    <t>Kötelező feladatok:</t>
  </si>
  <si>
    <t>Építéshatóság</t>
  </si>
  <si>
    <t>Képviselőtestület kiadásai</t>
  </si>
  <si>
    <t>Finanszírozási műveletek</t>
  </si>
  <si>
    <t>Polgári Védelem</t>
  </si>
  <si>
    <t>Városgazdálkodás</t>
  </si>
  <si>
    <t>Települési vízellátás</t>
  </si>
  <si>
    <t>Közvilágítás</t>
  </si>
  <si>
    <t>Egyéb elsz. (támogatások)</t>
  </si>
  <si>
    <t>Rendszeres segélyek</t>
  </si>
  <si>
    <t>Eseti segélyek</t>
  </si>
  <si>
    <t>Közcélú foglalkoztatás</t>
  </si>
  <si>
    <t>Működési célú átadott pénzeszköz</t>
  </si>
  <si>
    <t>2. Városi Könyvtár - Múzeum</t>
  </si>
  <si>
    <t>Eredeti ei.</t>
  </si>
  <si>
    <t>Mód. ei.</t>
  </si>
  <si>
    <t>Rendszeres pénzbeli ellátások</t>
  </si>
  <si>
    <t>Rendszeres szociális segély (90%)</t>
  </si>
  <si>
    <t>Lakásfenntartási támogatás (90%)</t>
  </si>
  <si>
    <t>Ápolási díj - méltányosságból</t>
  </si>
  <si>
    <t>Szociális étkeztetés támogatása</t>
  </si>
  <si>
    <t>Munkaadót terhelő járulékok</t>
  </si>
  <si>
    <t>Eseti pénzbeli ellátások</t>
  </si>
  <si>
    <t>Rendkívüli gyermekvédelmi támogatás</t>
  </si>
  <si>
    <t>Eseti pénzbeli ellátások összesen:</t>
  </si>
  <si>
    <t>Önkorm által folyósított ellátások mindösszesen:</t>
  </si>
  <si>
    <t>Csurgó Város Önkormányzata speciális célú támogatások</t>
  </si>
  <si>
    <t>Csurgó Kistérségi Többcélú Társulási tagdíj (65 Ft/lakos)</t>
  </si>
  <si>
    <t>Csurgó Kistérségi Többcélú Társulásnak központi ügyeletre</t>
  </si>
  <si>
    <t>Önkéntes tűzoltó köztestület támogatása</t>
  </si>
  <si>
    <t>Működési célú támogatásértékű kiadások összesen</t>
  </si>
  <si>
    <t>Működési célú pénzeszköátadás államháztartáson kívülre összesen</t>
  </si>
  <si>
    <t>Támogatások mindösszesen:</t>
  </si>
  <si>
    <t>e Ft-ban</t>
  </si>
  <si>
    <t>I.Felhalmozási és tőke jellegű bevételek (áfával) összesen</t>
  </si>
  <si>
    <t xml:space="preserve">   1. Tárgyi eszközök, immateriális javak értékesítése</t>
  </si>
  <si>
    <t xml:space="preserve">      a) Meller kastély értékesítése</t>
  </si>
  <si>
    <t xml:space="preserve">   2. Önkormányzatok sajátos felhalmozási és tőkebevételei</t>
  </si>
  <si>
    <t xml:space="preserve">      a) Kamatmentes építési kölcsönök törlesztése</t>
  </si>
  <si>
    <t>II. Felhalmozási célú támogatásértékű bevételek</t>
  </si>
  <si>
    <t>Felhalmozási bevételek összesen</t>
  </si>
  <si>
    <t>Saját forrás</t>
  </si>
  <si>
    <t>Bekerülési költség</t>
  </si>
  <si>
    <t>I. Áthúzódó felújítások</t>
  </si>
  <si>
    <t>II. Új felújítások</t>
  </si>
  <si>
    <t>4. Immateriális javak</t>
  </si>
  <si>
    <t>tőke</t>
  </si>
  <si>
    <t>kamat</t>
  </si>
  <si>
    <t xml:space="preserve"> 1. Volt Napsugár Szöv.ingatlanvásárlására felvett hitel (36.000 e Ft) kamata</t>
  </si>
  <si>
    <t xml:space="preserve"> 2. Korábbi hitelek kiváltására felvett hitel (77.478 e Ft) kamata</t>
  </si>
  <si>
    <t xml:space="preserve"> 3. Szociális bérlakásépítésre felvett hitel törlesztése kamattal</t>
  </si>
  <si>
    <t xml:space="preserve">     a) Eötvös Iskola, Közösségi Ház fűtéskorszerűsíés lízingdíja</t>
  </si>
  <si>
    <t>VIII. Sportcsarnok fenntartói szolgáltatási díj</t>
  </si>
  <si>
    <t xml:space="preserve">     a) Sportcsarnok fenntartói szolgáltatási díj</t>
  </si>
  <si>
    <t>X. Fejlesztési célú tartalék</t>
  </si>
  <si>
    <t>Felhalmozási kiadások összesen</t>
  </si>
  <si>
    <t>Csurgó Város Önkormányzata</t>
  </si>
  <si>
    <t>TEKI, LEKI, CEDE (2009.) önerejére MFB hitel tőke törlesztése (Virág u., Csokonai u., Dózsa u., Eötvös Iskola járdaburkola)</t>
  </si>
  <si>
    <t>Eötvös Iskola világításkorszerűsítésre</t>
  </si>
  <si>
    <r>
      <t>3 havi EURIBOR és 2,70 %:</t>
    </r>
    <r>
      <rPr>
        <b/>
        <sz val="12"/>
        <rFont val="Arial"/>
        <family val="2"/>
      </rPr>
      <t xml:space="preserve"> 8,7%</t>
    </r>
  </si>
  <si>
    <t>3 havi EURIBOR és 2,7%; 8,7%</t>
  </si>
  <si>
    <t>3 havi EURIBOR és 2,5%; 8,7%</t>
  </si>
  <si>
    <t>3 havi EURIBOR és 3,5%; 9,5%</t>
  </si>
  <si>
    <t>Működési likviditási, kisösszegű felújításra</t>
  </si>
  <si>
    <t>Működési likviditási, kisösszegű felújításra (kamat)</t>
  </si>
  <si>
    <t>3 havi BUBOR+3,5</t>
  </si>
  <si>
    <t xml:space="preserve">    szociális étkeztetés</t>
  </si>
  <si>
    <t xml:space="preserve">    házi segítségnyújtás</t>
  </si>
  <si>
    <t xml:space="preserve">    időskorúak nappali ellátása</t>
  </si>
  <si>
    <t>Hitelek összesen (lizing nélkül):</t>
  </si>
  <si>
    <t>Lízingdíj fűtéskorszerűsítésre</t>
  </si>
  <si>
    <t>Lízingdíj fűtéskorszerűsítés</t>
  </si>
  <si>
    <t xml:space="preserve"> - Szoc</t>
  </si>
  <si>
    <t>g. Pályázati támogatás visszafizetése</t>
  </si>
  <si>
    <t>Csurgó Kistérségi Többcélú Társulásnak sportalapra</t>
  </si>
  <si>
    <t>E.MISSZIÓ 210 eFt/hó</t>
  </si>
  <si>
    <t xml:space="preserve">   Közösségi Ház és a Sportcsarnok működésére a Csurgói Sportcsarnok Kft.-nek átadás</t>
  </si>
  <si>
    <t xml:space="preserve">Önkormányzat működőképessége megőrzését szolgáló kiegészítő támogatás </t>
  </si>
  <si>
    <t>Kötelező</t>
  </si>
  <si>
    <t>Önként vállalt</t>
  </si>
  <si>
    <t>Államigazgatási</t>
  </si>
  <si>
    <t xml:space="preserve">  -ebből állami támogatás</t>
  </si>
  <si>
    <t xml:space="preserve">Óvoda </t>
  </si>
  <si>
    <t xml:space="preserve">Áht.-n kívűlről működésre átvett pénzeszközök </t>
  </si>
  <si>
    <t>Foglalkoztatást helyettesítő támogatás (80 %)</t>
  </si>
  <si>
    <t>Porrog</t>
  </si>
  <si>
    <t>Porrogszentkirály</t>
  </si>
  <si>
    <t>Porrogszentpál</t>
  </si>
  <si>
    <t>Somogybükkösd</t>
  </si>
  <si>
    <t>Somogyudvarhely</t>
  </si>
  <si>
    <t>Előző évi hátralék</t>
  </si>
  <si>
    <t>Bejáró tanuló, fő</t>
  </si>
  <si>
    <t>IX. Értékesített tárgyi eszközök, immateriális javak áfa befizetése</t>
  </si>
  <si>
    <t xml:space="preserve">     a) Viziközmű használati díj áfa befizetése</t>
  </si>
  <si>
    <t xml:space="preserve">                    Hosszúlejáratú hitelek törlesztése kamattal</t>
  </si>
  <si>
    <t>Bejáró óvodás, fő</t>
  </si>
  <si>
    <t>Bejáró iskolás után fizetendő, Ft</t>
  </si>
  <si>
    <t>Bejáró óvodás után fizetendő, Ft</t>
  </si>
  <si>
    <t>Fizetendő mindösszesen</t>
  </si>
  <si>
    <t>Rendezvényekre támogatás</t>
  </si>
  <si>
    <t>Társasházi megbizott megbízási díja</t>
  </si>
  <si>
    <t>Személyi juttatások összesen:</t>
  </si>
  <si>
    <t>Munkáltatót terhelő járulékok összesen</t>
  </si>
  <si>
    <t>Egyéb bérrendszer munkabére (Dingó János gkv.)</t>
  </si>
  <si>
    <t>Közösségi Ház</t>
  </si>
  <si>
    <t>2018.</t>
  </si>
  <si>
    <t>2019.</t>
  </si>
  <si>
    <t>2020.</t>
  </si>
  <si>
    <t>2021.</t>
  </si>
  <si>
    <t>viziközmű használati díj (+)</t>
  </si>
  <si>
    <t>Költségvetés 2010.</t>
  </si>
  <si>
    <t>682002-112-Lakásgazdálkodás (Nem lakóingatlanok)</t>
  </si>
  <si>
    <t>841112 - 117 - Képviselő testület</t>
  </si>
  <si>
    <t>841126 - 166 - Többcélú Társulás munkaszervezete</t>
  </si>
  <si>
    <t>841125 - 115 - Építési hatóság</t>
  </si>
  <si>
    <t>842531 - 120 - Polgárvédelem</t>
  </si>
  <si>
    <t>841402 - 128 - Közvilágítás</t>
  </si>
  <si>
    <t>931102 - 172 - Sportcsarnok</t>
  </si>
  <si>
    <t>602000 -144 -   CSTV</t>
  </si>
  <si>
    <t>910501 - 113 - Közösségi Ház</t>
  </si>
  <si>
    <t xml:space="preserve">          841901 - 132 Önkormányzatok feladatra nem tervezhető elszámolása                       </t>
  </si>
  <si>
    <t>882129 - 134 - Szociális étkeztetés támogatása</t>
  </si>
  <si>
    <t xml:space="preserve"> Rendsz.szoc.pénzbeni ellátások</t>
  </si>
  <si>
    <t>882117 - 134 - Rendsz.gyv.pénzb.ellátások</t>
  </si>
  <si>
    <t>882111 - 134 - Munkanélküli ellátások</t>
  </si>
  <si>
    <t>5831141/882113</t>
  </si>
  <si>
    <t>Fők.szla/szakf.</t>
  </si>
  <si>
    <t>Egyéb dologi kiadás</t>
  </si>
  <si>
    <t>III. orvosi körzet</t>
  </si>
  <si>
    <t>Köztisztviselők jubileumi jutalma</t>
  </si>
  <si>
    <t>Hungarnet tagdíj</t>
  </si>
  <si>
    <t>3 havi BUBOR és 0,80 %: 6,8 %</t>
  </si>
  <si>
    <t>3  havi BUBOR és  0,53%; 6,53%</t>
  </si>
  <si>
    <t>3 havi BUBOR és 4%; 10%</t>
  </si>
  <si>
    <t>Teljes munkaidőben fogl.rendsz. Szem. Jutt. Össz.:</t>
  </si>
  <si>
    <t>takarító megbízási díja</t>
  </si>
  <si>
    <t>Önkormányzat és szakfeladatai összesen</t>
  </si>
  <si>
    <t>Önkormányzat szakfeladatos működési bevételei összesen</t>
  </si>
  <si>
    <t xml:space="preserve">Költségvetés 2012.         </t>
  </si>
  <si>
    <t xml:space="preserve">   Hungarnet tagdíj</t>
  </si>
  <si>
    <t>Sportszervezetek támogatás</t>
  </si>
  <si>
    <t>Bejárók normatívája</t>
  </si>
  <si>
    <t>Pénzmaradvány</t>
  </si>
  <si>
    <t>jogcím kötelezettségvállalással terhelt</t>
  </si>
  <si>
    <t>Működésre átvett támogatás</t>
  </si>
  <si>
    <t>Csurgó Városi Iskolák és Óvodák</t>
  </si>
  <si>
    <t>Szabóné 2012 évi számlái 3908745</t>
  </si>
  <si>
    <t>Horvát-magyar IPA EU önerő alap támogatás</t>
  </si>
  <si>
    <t>Városrehabilitáció saját forrására</t>
  </si>
  <si>
    <t>Polgármesteri Hivatal nyílászárók cseréje LEADER pályázat</t>
  </si>
  <si>
    <t>Polgármesteri Hivatal nyílászárók cseréje LEADER áfa</t>
  </si>
  <si>
    <t>Fenálló hitelállomány</t>
  </si>
  <si>
    <t>Saját erő finanszírozás Fejlesztések önerejére felvett hitel (Közösségei Ház, PMH, Városi Könyvtár "Leader", Kert, Jókai, Zrínyi u, "TEUT" támogatásból felújítás</t>
  </si>
  <si>
    <t>Eötvös Iskola világítás korszerűsítés</t>
  </si>
  <si>
    <t>MFB körforgalom</t>
  </si>
  <si>
    <t>Virág u., Csokonai u., Dózsa u., Eötvös Iskola járdaburkolat</t>
  </si>
  <si>
    <t>Működési likviditás, kisösszegű felújítás</t>
  </si>
  <si>
    <t>1. működési bevételek és kiadások különbözete (működési hiány)</t>
  </si>
  <si>
    <t>a) költségvetési működési hiány belső finanszírozása: előző évi pénzmaradvány igénybevétele</t>
  </si>
  <si>
    <t>2. felhalmozási bevételek és kiadások különbözete (felhalmozási hiány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</si>
  <si>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</si>
  <si>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</si>
  <si>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8. melléklet</t>
  </si>
  <si>
    <t>1. Ellátottak térítési díjának, illetve kártérítésének méltányossági alapon történő elengedésének összege</t>
  </si>
  <si>
    <t>3. Helyi adónál, gépjárműadónál biztosított kedvezmény, mentesség összege adónemenként</t>
  </si>
  <si>
    <t>4. Helyiségek, eszközök hasznosításából szátmazó bevételből nyújtott kedvezmény, mentesség összege</t>
  </si>
  <si>
    <t>5. Egyéb nyújtott kedvezmény vagy kölcsön elengedésének összege</t>
  </si>
  <si>
    <t>2. Lakosság részére lakásépítéshez, lakásfelújításhoz nyújtott kölcsönök elengedésének összege</t>
  </si>
  <si>
    <t>jogcíme (jellege)</t>
  </si>
  <si>
    <t>összege (e FT)</t>
  </si>
  <si>
    <t>összege (eFt)</t>
  </si>
  <si>
    <t>2024.</t>
  </si>
  <si>
    <t>2025.</t>
  </si>
  <si>
    <t>2026.</t>
  </si>
  <si>
    <t>3. Hitelek</t>
  </si>
  <si>
    <t>Szellemi tevékenység</t>
  </si>
  <si>
    <t>MŰKÖDÉSI CÉLÚ TÁMOGATÁSÉRTÉKŰ KIADÁS</t>
  </si>
  <si>
    <t>MŰKÖDÉSI CÉLÚ TÁMOGATÁSÉRTÉKŰ KIADÁSOK ÖSSZESEN:</t>
  </si>
  <si>
    <t>Mód. előirányzat</t>
  </si>
  <si>
    <t>II. Önkormányzatok sajátos működési bevételei</t>
  </si>
  <si>
    <t>2. Önkormányzatok sajátos felhalmozási és tőkebevételei</t>
  </si>
  <si>
    <t>1. normatív támogatások</t>
  </si>
  <si>
    <t>BEVÉTELEK MINDÖSSZESEN:</t>
  </si>
  <si>
    <t>2. Polgármesteri Hivatal igazgatási kiadásai</t>
  </si>
  <si>
    <t>1. Általános tartalék</t>
  </si>
  <si>
    <t>KIADÁSOK MINDÖSSZESEN:</t>
  </si>
  <si>
    <t>Szakfeladatok megnevezése</t>
  </si>
  <si>
    <t>Őszi fesztivál (Testvérvárosi Találkozó 2009.)támogatása</t>
  </si>
  <si>
    <t>Köztisztviselők továbbképzése (1 fő, szakv.)</t>
  </si>
  <si>
    <t>Internet költségtérítés</t>
  </si>
  <si>
    <t>Folyóirat</t>
  </si>
  <si>
    <t>jubileum</t>
  </si>
  <si>
    <t>841403-Városgazdálkodás</t>
  </si>
  <si>
    <t>Közfoglalkoztatásra Munkaügyi Központtól</t>
  </si>
  <si>
    <t>OEP- től átvett</t>
  </si>
  <si>
    <t>Szilajka Eszter</t>
  </si>
  <si>
    <t>Polgárné Horváth Zsuzsanna</t>
  </si>
  <si>
    <t>8405500</t>
  </si>
  <si>
    <t>Polgármesteri Hivatal nyílászárók cseréje LEADER</t>
  </si>
  <si>
    <t xml:space="preserve">      b) Haszonbérleti díjak</t>
  </si>
  <si>
    <t xml:space="preserve">      c) Közterületbérleti díjak</t>
  </si>
  <si>
    <t xml:space="preserve">      d) Viziközmű használati díj bevétele</t>
  </si>
  <si>
    <t>e) Magánszemélyek kommunális adója</t>
  </si>
  <si>
    <t>3 havi BUBOR és 3,25%; 9,25%</t>
  </si>
  <si>
    <t>Többc.Társ.-tól oktatási normatíva</t>
  </si>
  <si>
    <t>Körjegyzőséghez</t>
  </si>
  <si>
    <t>-Mozgókönyvtár</t>
  </si>
  <si>
    <t>Közösségi Ház működésére Csurgói Sportcsarnok Kft.-nek működésre átadás</t>
  </si>
  <si>
    <t>Városrehabilitáció (LHH)</t>
  </si>
  <si>
    <t>Rehabilitációs hozzájárulás 2013.</t>
  </si>
  <si>
    <t>CKÖ támogatás (központosított és önkormányzati)</t>
  </si>
  <si>
    <t>Festetics ösztöndíj</t>
  </si>
  <si>
    <t>381152..</t>
  </si>
  <si>
    <t>Kovács Tamás</t>
  </si>
  <si>
    <t>ÁROP támogatás Polgármesteri Hivatal szervezetfejlesztésére</t>
  </si>
  <si>
    <t>4641…</t>
  </si>
  <si>
    <t>Kamat kondíciók</t>
  </si>
  <si>
    <t>mozgókönyvtár 2012. évi fel nem használt</t>
  </si>
  <si>
    <t>Alszámla</t>
  </si>
  <si>
    <t>Folyószámlahitel kamata</t>
  </si>
  <si>
    <t>140 mill. Hitel.</t>
  </si>
  <si>
    <t>140 mill. Hitel. Kamata</t>
  </si>
  <si>
    <t>Működési hitel</t>
  </si>
  <si>
    <t>Állam támogatása (60%)</t>
  </si>
  <si>
    <t>V. Költségvetési bevétel és kiadás különbözete (hiány)</t>
  </si>
  <si>
    <t>1. költségvetési működési hiány belső finanszírozása: előző évi pénzmaradvány igénybevétele</t>
  </si>
  <si>
    <t>2. Költségvetési működési hiány külső finanszírozása: működési célú hitelfelvétel</t>
  </si>
  <si>
    <t>Adósságkonszolidáció révén kapott támogatás</t>
  </si>
  <si>
    <t>"Hagyomány és Innováció" Iskolai pályázat EU önerő</t>
  </si>
  <si>
    <t>Csurgói Ivóvízminőség-javító program</t>
  </si>
  <si>
    <t>Hagyomány és Innováció pályázat (előleg)</t>
  </si>
  <si>
    <t>1. Csurgói Ivóvízminőség-javító program (KEOP)</t>
  </si>
  <si>
    <t>Csurgói Ivóvízminőség-javító program EU Önerő Alap</t>
  </si>
  <si>
    <t>Városrehabilitáció EU Önerő Alap támogatás</t>
  </si>
  <si>
    <t>Önerő támogatás</t>
  </si>
  <si>
    <t>"Hagyomány és Innováció" Iskolai pályázat áfa</t>
  </si>
  <si>
    <t>Csurgói Ivóvízminőség-javító program áfa</t>
  </si>
  <si>
    <t xml:space="preserve">   b. Csurgó Belterületi Vízrendezés</t>
  </si>
  <si>
    <t xml:space="preserve">   c. "Hagyomány és Innováció" Iskolai pályázat (DDOP)</t>
  </si>
  <si>
    <t>d. Csurgói Ivóvízminőség-javító program (KEOP)</t>
  </si>
  <si>
    <t>e. Adósságkonszolidáció révén kapott támogatás</t>
  </si>
  <si>
    <t>b. Városrehabilitáció (BM önerő)</t>
  </si>
  <si>
    <t>c. Csurgó Belterületi Vízrendezés (EU önerő alap)</t>
  </si>
  <si>
    <t>CKÖ működésére központosított támogatás</t>
  </si>
  <si>
    <t xml:space="preserve">   Csurgói Városgazdálkodási Kft.-nek működésre átadott pénz</t>
  </si>
  <si>
    <t>(munkáltatói döntés teljesítményértékelés alapján)
február végéig: 609.900 Ft, utána keret: 2.880.000 Ft, címzetes főjegyző címpótlék. 38.650 Ft X24 X 0,20 = 185.520 Ft)</t>
  </si>
  <si>
    <t>Tűzoltóság hitel kezességvállalás (-)</t>
  </si>
  <si>
    <t>IV.Egyéb működési bevételek</t>
  </si>
  <si>
    <t>1. Támogatásértékű működési bevételek összesen</t>
  </si>
  <si>
    <t>2. Működési célú pénzeszköz átvétel államháztartáson kivülről</t>
  </si>
  <si>
    <t>3. Előző évi működési célú előirányzat - maradvány, pénzmaradvány átvétel</t>
  </si>
  <si>
    <t>4. Előző évi költségvetési kiegészítések, visszatérülések</t>
  </si>
  <si>
    <t>I. Működési kiadások</t>
  </si>
  <si>
    <t>1. Személyi juttatások</t>
  </si>
  <si>
    <t>2. Munkaadókat terhelő járulékok</t>
  </si>
  <si>
    <t>4. Ellátottak pénzbeli juttatásai</t>
  </si>
  <si>
    <t>3. Dologi kiadások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</si>
  <si>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</si>
  <si>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</si>
  <si>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</si>
  <si>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</si>
  <si>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</si>
  <si>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Támogatási kölcsönök nyújtása, törlesztése</t>
  </si>
  <si>
    <t>III. Működési támogatások</t>
  </si>
  <si>
    <t xml:space="preserve">1. működési célú hiteltörlesztés </t>
  </si>
  <si>
    <t>Csurgó Város Közös Önkormányzati Hivatala szakfeladatos és önállóan működő intézmények működési kiadásainak előirányzatai 2013. évben</t>
  </si>
  <si>
    <t xml:space="preserve"> ebből állami támogatás</t>
  </si>
  <si>
    <t>a. Városrehabilitáció (LHH)</t>
  </si>
  <si>
    <t>(53.612.818 Ft/év + infláció 4,2%)  :1,27 X 0,60</t>
  </si>
  <si>
    <t>Korrigált saját bevétel 50%-a: (HITELKORLÁT)</t>
  </si>
  <si>
    <t>Hiteltörlesztés</t>
  </si>
  <si>
    <t>III. Hitelek törlesztése</t>
  </si>
  <si>
    <t>IV. Pénzforgalom nélküli kiadások</t>
  </si>
  <si>
    <t>Működési támogatások</t>
  </si>
  <si>
    <t>Egyéb működési bevételek</t>
  </si>
  <si>
    <t>Támogatás értékű  műk. bev</t>
  </si>
  <si>
    <t>Támogatás értékű  műk bevétel</t>
  </si>
  <si>
    <t>II. Felhalmozási kiadások</t>
  </si>
  <si>
    <t>1. Beruházási kiadások ÁFÁ-val</t>
  </si>
  <si>
    <t>2. Felújítási kiadások ÁFÁ-val</t>
  </si>
  <si>
    <t>b) költségvetési működési hiány külső finanszírozása: Önhiki támogatás</t>
  </si>
  <si>
    <t>1.2 melléklet</t>
  </si>
  <si>
    <t>2. melléklet</t>
  </si>
  <si>
    <t>4.1 melléklet</t>
  </si>
  <si>
    <t>4.2 melléklet</t>
  </si>
  <si>
    <t>5. melléklet</t>
  </si>
  <si>
    <t>6. melléklet</t>
  </si>
  <si>
    <t>7. melléklet</t>
  </si>
  <si>
    <t>9. melléklet</t>
  </si>
  <si>
    <t>Csurgó Város Önkormányzatának címrendje 2012. évben</t>
  </si>
  <si>
    <t>10. melléklet</t>
  </si>
  <si>
    <t>Házasságkötések díja</t>
  </si>
  <si>
    <t>15*10000</t>
  </si>
  <si>
    <t>Eljárási díj</t>
  </si>
  <si>
    <t>Működési bevétel összesen:</t>
  </si>
  <si>
    <t>Igazgatási szolgáltatás (Építéshatóság, egyéb)</t>
  </si>
  <si>
    <t>Bírságok</t>
  </si>
  <si>
    <t>Önkormányzati Igazgatás</t>
  </si>
  <si>
    <t>Eötvös Iskola konyha</t>
  </si>
  <si>
    <t>021</t>
  </si>
  <si>
    <t>Rákóczi Iskola oktatás</t>
  </si>
  <si>
    <t>026</t>
  </si>
  <si>
    <t>Rákóczi Iskola konyha</t>
  </si>
  <si>
    <t>030</t>
  </si>
  <si>
    <t>041</t>
  </si>
  <si>
    <t>Városi Könyvtár</t>
  </si>
  <si>
    <t>043</t>
  </si>
  <si>
    <t>Réti József Műv. Okt. Int.</t>
  </si>
  <si>
    <t>045</t>
  </si>
  <si>
    <t>Városi Múzeum</t>
  </si>
  <si>
    <t>049</t>
  </si>
  <si>
    <t>Mozgó Könyvtár</t>
  </si>
  <si>
    <t>050</t>
  </si>
  <si>
    <t>Háziorvosi Szolgálat</t>
  </si>
  <si>
    <t>051</t>
  </si>
  <si>
    <t>Sürgősségi Ügyelet</t>
  </si>
  <si>
    <t>052</t>
  </si>
  <si>
    <t>Gyermekorvos</t>
  </si>
  <si>
    <t>053</t>
  </si>
  <si>
    <t>Belgyógyászat</t>
  </si>
  <si>
    <t>054</t>
  </si>
  <si>
    <t>Laboratóriumi szakrendelés</t>
  </si>
  <si>
    <t>055</t>
  </si>
  <si>
    <t>Nőgyógyászat</t>
  </si>
  <si>
    <t>056</t>
  </si>
  <si>
    <t>Fogászat</t>
  </si>
  <si>
    <t>057</t>
  </si>
  <si>
    <t>Védőnői Szolgálat</t>
  </si>
  <si>
    <t>058</t>
  </si>
  <si>
    <t>Fizió- és reuma Szakr.</t>
  </si>
  <si>
    <t>059</t>
  </si>
  <si>
    <t>Eü ellátás egyéb feladatai</t>
  </si>
  <si>
    <t>060</t>
  </si>
  <si>
    <t>070</t>
  </si>
  <si>
    <t>075</t>
  </si>
  <si>
    <t>Nevelési Tanácsadó</t>
  </si>
  <si>
    <t>080</t>
  </si>
  <si>
    <t>Szociális Szolgálató ÖNO</t>
  </si>
  <si>
    <t>085</t>
  </si>
  <si>
    <t>Mikrotérségi Társulás</t>
  </si>
  <si>
    <t>1**</t>
  </si>
  <si>
    <t>Iskolának átadott</t>
  </si>
  <si>
    <t xml:space="preserve">   Iskolának átadott</t>
  </si>
  <si>
    <t>Többcélú Társulás (Sportalap)</t>
  </si>
  <si>
    <t>Nagyváthynak átadott</t>
  </si>
  <si>
    <t>Polgármesteri Hivatal és</t>
  </si>
  <si>
    <t>Szakfeladatai</t>
  </si>
  <si>
    <t>102</t>
  </si>
  <si>
    <t>Parkfenntartás</t>
  </si>
  <si>
    <t>108</t>
  </si>
  <si>
    <t>Közutak karbantartása</t>
  </si>
  <si>
    <t>109</t>
  </si>
  <si>
    <t>Szennyvízkezelés II</t>
  </si>
  <si>
    <t>Lakás és helyiségek</t>
  </si>
  <si>
    <t>karbantartása</t>
  </si>
  <si>
    <t>Szennyvíztársulás</t>
  </si>
  <si>
    <t>Fejlesztési kiadások összesen:</t>
  </si>
  <si>
    <t>Fejlesztési bevételek</t>
  </si>
  <si>
    <t>Szennyvízberuházás</t>
  </si>
  <si>
    <t>EU Önerő támogatás</t>
  </si>
  <si>
    <t>Elsőfokú építési hatóság</t>
  </si>
  <si>
    <t xml:space="preserve">Polgármesteri Hivatal  </t>
  </si>
  <si>
    <t>Képviselő Testület</t>
  </si>
  <si>
    <t>Cigány Kisebbségi Önkorm.</t>
  </si>
  <si>
    <t>Városgazdálkodási Kft.</t>
  </si>
  <si>
    <t xml:space="preserve">Szennyvízkezelés </t>
  </si>
  <si>
    <t>Köztisztasági feladatok</t>
  </si>
  <si>
    <t>Temetőfenntartás</t>
  </si>
  <si>
    <t>CSTV</t>
  </si>
  <si>
    <t>Közhasznú Foglalkoztatás</t>
  </si>
  <si>
    <t xml:space="preserve">Munkaügyi Központ </t>
  </si>
  <si>
    <t>támogatásából</t>
  </si>
  <si>
    <t>Közmunka Program</t>
  </si>
  <si>
    <t>Többcélú Társulásnál</t>
  </si>
  <si>
    <t>Közcélú Foglalkoztatás</t>
  </si>
  <si>
    <t>Fürdő-és strandszolgáltatás</t>
  </si>
  <si>
    <t>CSTK sportpálya fenntartás</t>
  </si>
  <si>
    <t>Sportcsarnok</t>
  </si>
  <si>
    <t>09</t>
  </si>
  <si>
    <t>Vállalkozási tevékenység</t>
  </si>
  <si>
    <t>Csurgó, 2012.01.17</t>
  </si>
  <si>
    <t>ügyvezető igazgató</t>
  </si>
  <si>
    <t>Polgármesteri Hivatal szervezetfejlesztés ÁROP támogatása (szoftverek)</t>
  </si>
  <si>
    <t>Városrehabilitáció LHH támogatás</t>
  </si>
  <si>
    <t>Horvát-magyar IPA támogatás</t>
  </si>
  <si>
    <t>Jézus Szíve Katolikus Plébánia felújítás (városrehabilitáció konzorciós partner)</t>
  </si>
  <si>
    <t>Felhalmozási célú támogatásértékű bevételek összesen</t>
  </si>
  <si>
    <t>III. Felhalmozási célra államháztartáson kívülről átvett pénzeszközök</t>
  </si>
  <si>
    <t xml:space="preserve">   Egészségügyi Szolgáltató Nonprofit Kft.-nek átadás</t>
  </si>
  <si>
    <t>Műk-i kiadás: 277.836 csökkentve az Eötvös Iskola étkeztetés szakfeladataira tervezett költségekkel</t>
  </si>
  <si>
    <t>10793 és 200 normatíva csökkentve a konyhával kapcsolatos dolgok</t>
  </si>
  <si>
    <t>Városgazd. Kft. 4 fő bére + dologi tavalyi adatok alapján 448.991+4,2 infláció és az áfa változás (475.334)</t>
  </si>
  <si>
    <t>Normatíva bejárók nélkül (-13902) (-1050)</t>
  </si>
  <si>
    <t>2012. évi fizetendő összesen, Ft</t>
  </si>
  <si>
    <t>Bejáró tanulók 2012.</t>
  </si>
  <si>
    <t>INTÉZMÉNYI MŰKÖDÉSI BEVÉTELEK ÖSSZESEN:</t>
  </si>
  <si>
    <t>ÖNKORMÁNYZATAOK SAJÁTOS MŰKÖDÉSI BEVÉTELEI</t>
  </si>
  <si>
    <t>ÖNKORMÁNYZATOK SAJÁTOS MŰKÖDÉSI BEV. ÖSSZESEN:</t>
  </si>
  <si>
    <t>KÖLTSÉGVETÉSI TÁMOGATÁSOK</t>
  </si>
  <si>
    <t>MŰKÖDÉSI CÉLÚ TÁMOGATÁS ÉRTÉKŰ BEVÉTEL</t>
  </si>
  <si>
    <t xml:space="preserve">      b) Budapest Bank épülete</t>
  </si>
  <si>
    <t xml:space="preserve">      c) Önkormányzati lakások értékesítése</t>
  </si>
  <si>
    <t xml:space="preserve">      d) Lőtér értékesítése</t>
  </si>
  <si>
    <t>a. Városrehabilitáció (EU önerő alap)</t>
  </si>
  <si>
    <t xml:space="preserve"> 1. Városi Óvodák</t>
  </si>
  <si>
    <t>3. Előző évi felhalmozási célú előirányzat - maradvány, pénzmaradvány átvétel</t>
  </si>
  <si>
    <t xml:space="preserve"> 5. MFB hitel Mesevár Óvoda, Eötvös Iskola felújítására (2006.)</t>
  </si>
  <si>
    <t xml:space="preserve"> 6. Körforgalom önerejére MFB hitel</t>
  </si>
  <si>
    <t xml:space="preserve"> 7. TEKI,LEKI,CEDE (2009.) önerejére MFB hitel</t>
  </si>
  <si>
    <t xml:space="preserve"> 8. Eötvös Iskola világításkorszerűsítésre</t>
  </si>
  <si>
    <t>9. MFB hitel leaderes felújítások TEUT felújításo könerejére kamat törlesztés</t>
  </si>
  <si>
    <t xml:space="preserve"> 4. Saját erő finanszírozása (közház, könyvtár, utak felújítása, Pmhivatal)</t>
  </si>
  <si>
    <t>Hosszúlejáratú fejl hitel 2011. évi törl + kamat (-)</t>
  </si>
  <si>
    <t xml:space="preserve">                   Rövid lejáratú hitelek törlesztése kamattal</t>
  </si>
  <si>
    <t xml:space="preserve"> 4. MFB hitel - utak felújítására (2006.)</t>
  </si>
  <si>
    <t>2. Földterület vásárlása</t>
  </si>
  <si>
    <t>3. Gép, berendezés beszerzése</t>
  </si>
  <si>
    <t>BERUHÁZÁSOK ÖSSZESEN</t>
  </si>
  <si>
    <t>V. Államháztartáson kívülre átadott felhalmozási célú pénzeszközök</t>
  </si>
  <si>
    <t>Tűzoltóság eszközök beszerzésének önerejére (10 %)</t>
  </si>
  <si>
    <t>Államháztartáson kívülre átadott felhalmozási célú pénzeszközök összesen</t>
  </si>
  <si>
    <t>VI. Fejlesztési célú támogatásértékű kiadás</t>
  </si>
  <si>
    <t>Volt Napsugár Szöv. Ingatlanvásárlására felvett hitel (36 millió Ft)tőketörlesztése</t>
  </si>
  <si>
    <t>Korábbi hitelek kiváltására felvett hitel (77.478 e Ft) )tőketörlesztése</t>
  </si>
  <si>
    <t>Szociális bérlakásépítésre felvett hitel )tőketörlesztése</t>
  </si>
  <si>
    <t>MFB hitel leaderes felújítások TEUT felújításo könerejére tőketörlesztés</t>
  </si>
  <si>
    <t>3. Egyéb felhalmozási bevételek</t>
  </si>
  <si>
    <t>III. Támogatási kölcsönök visszatérülése, igénybevétele</t>
  </si>
  <si>
    <t>IV. Költségvetési bevétel és kiadás különbözete (hiány)</t>
  </si>
  <si>
    <t>IV. Fejlesztési célú hitelek törlesztése kamatokkal</t>
  </si>
  <si>
    <t>4. Lízingdíjak</t>
  </si>
  <si>
    <t>d. Lízingdíj</t>
  </si>
  <si>
    <t>e. Sportcsarnok fenntartói szolgáltatási díj</t>
  </si>
  <si>
    <t>f. Értékesített tárgyi eszközök, immateriális javak áfa befizetése</t>
  </si>
  <si>
    <t>IV. Hitelek törlesztése</t>
  </si>
  <si>
    <t>V. Pénzforgalom nélküli kiadások</t>
  </si>
  <si>
    <t>III. Támogatási kölcsönök nyújtása, törlesztése</t>
  </si>
  <si>
    <t>III. körzetre januártól</t>
  </si>
  <si>
    <t>Szociális tv.114.§-115.§</t>
  </si>
  <si>
    <t>sportcsarnok fenntarrtói szolgáltatás díja (-)</t>
  </si>
  <si>
    <t>fejl kiadások kivált hitel 2011. évi törl+kamat</t>
  </si>
  <si>
    <t>közterület bérlet (+)</t>
  </si>
  <si>
    <t>Saját bevétel összesen:</t>
  </si>
  <si>
    <t>fűtéskorszerűsítés lízingdíja (-)</t>
  </si>
  <si>
    <t>Rövid lj-ú köt összesen:</t>
  </si>
  <si>
    <t>ÖNHIKI előleg: (+)</t>
  </si>
  <si>
    <t>Hosszúlejáratú fejlesztési hitel felvétel</t>
  </si>
  <si>
    <t>Tervezhető működési hitel felvétel (hiány)</t>
  </si>
  <si>
    <t>Cím megnevezése</t>
  </si>
  <si>
    <t>Városi Könyvtár és Múzeum</t>
  </si>
  <si>
    <t>Városi Egészségügyi és Szociális Intézmények</t>
  </si>
  <si>
    <t>3. Polgármesteri Hivatal költségvetésében szereplő kiadások</t>
  </si>
  <si>
    <t>4. Cigány Kisebbségi Önkormányzat</t>
  </si>
  <si>
    <t>Csurgó Város Önkormányzatának több éves kihatással járó feladatainak előirányzata éves bontásban</t>
  </si>
  <si>
    <t>Feladat</t>
  </si>
  <si>
    <t>a) fűtéskorszerűsítés</t>
  </si>
  <si>
    <t xml:space="preserve">b) Sportcsarnok fejlesztésre átadás </t>
  </si>
  <si>
    <t xml:space="preserve">b) Sportcsarnok működtetése </t>
  </si>
  <si>
    <t>(adatok eFt)</t>
  </si>
  <si>
    <t>Önerő</t>
  </si>
  <si>
    <t>EU-s támogatás</t>
  </si>
  <si>
    <t>Bekerülési ktg</t>
  </si>
  <si>
    <t>Tűzoltó köztestület támogatása</t>
  </si>
  <si>
    <t>Rinya-Dombómenti VTT érd. hozzájárulás</t>
  </si>
  <si>
    <t>Lantos Sándor</t>
  </si>
  <si>
    <t>Részmunkaidőben foglalkoztatott munkatörvénykönyves</t>
  </si>
  <si>
    <t>IV. Települési önkormányzatok kulturális feladatainak támogatása</t>
  </si>
  <si>
    <t>Járási Hivataltól feladatokra átvett</t>
  </si>
  <si>
    <t>Kuti Dóra</t>
  </si>
  <si>
    <t>Ferletyák Márk</t>
  </si>
  <si>
    <t>Ambrus Anita</t>
  </si>
  <si>
    <t>Szlávecz Jánosné</t>
  </si>
  <si>
    <t>Futó Katalin</t>
  </si>
  <si>
    <t>Hermann Brigitta</t>
  </si>
  <si>
    <t>30.</t>
  </si>
  <si>
    <t>31.</t>
  </si>
  <si>
    <t>32.</t>
  </si>
  <si>
    <t>33.</t>
  </si>
  <si>
    <t>34.</t>
  </si>
  <si>
    <t>35.</t>
  </si>
  <si>
    <t>belvíz 47 fő 75500 02.01-12.31</t>
  </si>
  <si>
    <t>8 fő 96800 02.01-12.31</t>
  </si>
  <si>
    <t>illegális hulladék 5 fő 75500 04.01-12.31</t>
  </si>
  <si>
    <t>közút 96800 1 fő 03.01-12.31</t>
  </si>
  <si>
    <t>mezőgazdasági 96800 1 fő 03.01-12.31</t>
  </si>
  <si>
    <t>mezőgazdasági 75500 13 fő 03.01-12.31</t>
  </si>
  <si>
    <t>mg-i földutak 75500 47 fő 04.01-12.31</t>
  </si>
  <si>
    <t>mg-i földutak 96800 3 fő 04.01-12.31</t>
  </si>
  <si>
    <t>értékteremtő 3 hó 96800*1</t>
  </si>
  <si>
    <t>értékteremtő 3 hó 39 fő 75500</t>
  </si>
  <si>
    <t>közút 75500 9 fő 03.01-12.31</t>
  </si>
  <si>
    <t>Telefon</t>
  </si>
  <si>
    <t>telefon 5000 Ft/hó+12000/hó</t>
  </si>
  <si>
    <t>680001 - 112 - Lakásgazdálkodás (lakóingatlan bérbeadása, üzemeltetése)</t>
  </si>
  <si>
    <t>Díjak, egyéb befizetések ei 88571*1,042*4</t>
  </si>
  <si>
    <t>Egyéb üz. Fennt.</t>
  </si>
  <si>
    <t xml:space="preserve"> - Villtek - tűzjelző</t>
  </si>
  <si>
    <t xml:space="preserve"> - Magyar Kémény - sorseprés</t>
  </si>
  <si>
    <t xml:space="preserve"> - Saubermacher- szemétszállítás</t>
  </si>
  <si>
    <t xml:space="preserve">OEP-től átvett  </t>
  </si>
  <si>
    <t>Számítógépek és tartozékok</t>
  </si>
  <si>
    <t>Magzati szívhangmérő készülék</t>
  </si>
  <si>
    <t>kb.</t>
  </si>
  <si>
    <t>hótolás</t>
  </si>
  <si>
    <t>munkavédelmi oktatás</t>
  </si>
  <si>
    <t xml:space="preserve"> - Páva szikvíz</t>
  </si>
  <si>
    <t xml:space="preserve"> - Piro-komplex tűzjelző</t>
  </si>
  <si>
    <t>gyepmesteri szolg 101600+infl.Ft/hó+27%</t>
  </si>
  <si>
    <t xml:space="preserve"> - Takács János- rágcsálóírtás</t>
  </si>
  <si>
    <t xml:space="preserve"> - Szilvási - szökőkút tisztítás</t>
  </si>
  <si>
    <t xml:space="preserve"> - Invest Autóház - műszaki vizsga, egyéb</t>
  </si>
  <si>
    <t>biztosítások KDE-560, KNX-317, GYZ-153</t>
  </si>
  <si>
    <t>?</t>
  </si>
  <si>
    <t>MVM Partner 500 eFt/hó</t>
  </si>
  <si>
    <t>"Bursa Hungarica" támogatása</t>
  </si>
  <si>
    <t>Magyar Önkormányzatok Szövetsége tagdíj</t>
  </si>
  <si>
    <t>1.</t>
  </si>
  <si>
    <t>2.</t>
  </si>
  <si>
    <t>3.</t>
  </si>
  <si>
    <t>újság kiadás</t>
  </si>
  <si>
    <t>Éleslátást biztosító szemüveg</t>
  </si>
  <si>
    <t>Kocsis Gyöngyi</t>
  </si>
  <si>
    <t>1. Fejlesztési feladatok</t>
  </si>
  <si>
    <t>2. Különféle szolgáltatások</t>
  </si>
  <si>
    <t>Városüzemeltetés</t>
  </si>
  <si>
    <t>Foglalkoztatottak sajátos juttatásai</t>
  </si>
  <si>
    <t>CsTV működése</t>
  </si>
  <si>
    <t>Védőruha beszerzése</t>
  </si>
  <si>
    <t>Többcélú Társulás (társulási tagdíj) 65 Ft/lakos</t>
  </si>
  <si>
    <t>Többcélú Társulás (orvosi ügyeletre)</t>
  </si>
  <si>
    <t>Prémium évesek juttatásai</t>
  </si>
  <si>
    <t xml:space="preserve"> </t>
  </si>
  <si>
    <t>Közgyógyellátás (méltányosságból</t>
  </si>
  <si>
    <t>Rehabilitációs hozzájárulás</t>
  </si>
  <si>
    <t>Mesevár Óvoda felújítása, Eötvös Iskola tető, konyha, jármű</t>
  </si>
  <si>
    <t>2008.</t>
  </si>
  <si>
    <t>2012.</t>
  </si>
  <si>
    <t>2014.</t>
  </si>
  <si>
    <t>2015.</t>
  </si>
  <si>
    <t>2016.</t>
  </si>
  <si>
    <t>infláció %</t>
  </si>
  <si>
    <t>tőketörl.</t>
  </si>
  <si>
    <t>Fűtéslízing</t>
  </si>
  <si>
    <t>Pályázati tám.egyéb átv.</t>
  </si>
  <si>
    <t>ezer Ft</t>
  </si>
  <si>
    <t xml:space="preserve">1 bejáróra fizetendő 100 % (K.T.hat.), Ft </t>
  </si>
  <si>
    <t>Normatív támogatás (3. sz.mell.bejáró nélk.)</t>
  </si>
  <si>
    <t>Normatív támogatás (8. sz.mell.)</t>
  </si>
  <si>
    <t>Helyi adók összesen</t>
  </si>
  <si>
    <t>Általános tartalék- működés</t>
  </si>
  <si>
    <t>Általános tartalék- fejlesztés</t>
  </si>
  <si>
    <t xml:space="preserve">Működési céltartalék </t>
  </si>
  <si>
    <t>Hiány (bevételek és kiadások különbözete)</t>
  </si>
  <si>
    <t>Sorszám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</si>
  <si>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</si>
  <si>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</si>
  <si>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</si>
  <si>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</si>
  <si>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</si>
  <si>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</si>
  <si>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</si>
  <si>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</si>
  <si>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</si>
  <si>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</si>
  <si>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Csurgónagymarton</t>
  </si>
  <si>
    <t>Somogycsicsó</t>
  </si>
  <si>
    <t>Szenta</t>
  </si>
  <si>
    <t>Prémium program támogatása</t>
  </si>
  <si>
    <t>Gyékényes</t>
  </si>
  <si>
    <t>SX 20000Ft/év+27%</t>
  </si>
  <si>
    <t>Katawin 27560Ft/év+27%</t>
  </si>
  <si>
    <t>Matáv 130000Ft/hó+27%</t>
  </si>
  <si>
    <t>Fejlesztés</t>
  </si>
  <si>
    <t>ebből 2012. évi pénzmaradvány</t>
  </si>
  <si>
    <t>előző évi fejl. Célú p.maradvány</t>
  </si>
  <si>
    <t>Pályázati fejl.célú bevétel</t>
  </si>
  <si>
    <t>Kiadások</t>
  </si>
  <si>
    <t xml:space="preserve"> - Óvoda</t>
  </si>
  <si>
    <t xml:space="preserve"> - Konyha</t>
  </si>
  <si>
    <t xml:space="preserve"> - Könyvtár</t>
  </si>
  <si>
    <t>Hiány</t>
  </si>
  <si>
    <t>Normatíva</t>
  </si>
  <si>
    <t>iskola és óvoda</t>
  </si>
  <si>
    <t>Önk. Tám.</t>
  </si>
  <si>
    <t>Kissné Szőke Lili</t>
  </si>
  <si>
    <t>Fábián Anita</t>
  </si>
  <si>
    <t>jubileum: 2013.07.09</t>
  </si>
  <si>
    <t>Datanet 20000Ft/hó+27%</t>
  </si>
  <si>
    <t>Pannon 100000Ft/hó+27%</t>
  </si>
  <si>
    <t>Seat biztosítás GFB 8697Ft/negyedév</t>
  </si>
  <si>
    <t>értékbecslés kb15db*20eFt+27%</t>
  </si>
  <si>
    <t>takarnet+tul.lapok+27%</t>
  </si>
  <si>
    <t>gépjármű karbantartás 431eFt+27%</t>
  </si>
  <si>
    <t>földhivatali adatszolg.díja 2db 2*70000</t>
  </si>
  <si>
    <t>ügyvédi költség, szaktanácsadás, közbeszerzés, pályázatírás 120eft+áfa</t>
  </si>
  <si>
    <t>nagyértékű</t>
  </si>
  <si>
    <t>Horváth gyula megbiz.díj</t>
  </si>
  <si>
    <t>(300 fő x 5.000 Ft/fő/hó x 12 hó)</t>
  </si>
  <si>
    <t>(20 fő x 25.650 Ft/fő/hó x 12 hó)</t>
  </si>
  <si>
    <t>300főX12hóX22800Ft</t>
  </si>
  <si>
    <t>(334 fő x 3000 Ft x 3 alk.)</t>
  </si>
  <si>
    <t>(5 fő x 150.000 Ft)</t>
  </si>
  <si>
    <t>Csurgó Város bevételeinek és kiadásainak 2013. évi előirányzatai</t>
  </si>
  <si>
    <t>..../2013. (…...)  rendelet</t>
  </si>
  <si>
    <t>..../2013. (…...) rendelet</t>
  </si>
  <si>
    <t>3. Hagyomány és Innováció oktatási pályázat DDOP (Iskola)</t>
  </si>
  <si>
    <t>1.Városrehabilitáció LHH</t>
  </si>
  <si>
    <t>2. Csurgó Belterületi Vízrendezés</t>
  </si>
  <si>
    <t>4. Csurgói Ivóvízminőség-javító program</t>
  </si>
  <si>
    <t>Önerő Alap támogatása</t>
  </si>
  <si>
    <t>Óvoda</t>
  </si>
  <si>
    <t>Szoc</t>
  </si>
  <si>
    <t>Hivatal</t>
  </si>
  <si>
    <t>Közös önkormányzati hivatalra településektől átvett (állami)</t>
  </si>
  <si>
    <t>Közös hivatalra átvett</t>
  </si>
  <si>
    <t>Önk. Össz.</t>
  </si>
  <si>
    <t xml:space="preserve">   Nagyváthynak átadott</t>
  </si>
  <si>
    <t>7. TIOP pályázat támogatás visszafizetése</t>
  </si>
  <si>
    <t xml:space="preserve">Alszámlára fizetett </t>
  </si>
  <si>
    <t>…/2013. (…..)rendelet</t>
  </si>
  <si>
    <t>Csurgó Város Önkormányzata működési bevételeinek és kiadásainak 2013. évi előirányzatai</t>
  </si>
  <si>
    <t>Csurgó Város Önkormányzata által folyósított ellátások 2013. évi előirányzatai</t>
  </si>
  <si>
    <t>…/2013. (…..)  rendelet</t>
  </si>
  <si>
    <t>Csurgó Város Önkormányzata felhalmozási bevételeinek 2013. évi előirányzatai</t>
  </si>
  <si>
    <t>Csurgó Város Önkormányzata felhalmozási kiadásainak 2013. évi előirányzatai</t>
  </si>
  <si>
    <t>tartalékok előirányzata 2013. évben</t>
  </si>
  <si>
    <t>Csurgó Város Önkormányzat likviditási és finanszírozási terve 2013. évre</t>
  </si>
  <si>
    <t>Csurgó Város Önkormányzatának 2013. évi közvetett támogatásai</t>
  </si>
  <si>
    <t>Csurgó Város Önkormányzatának európai uniós támogatással megvalósuló projektjei 2013. évben</t>
  </si>
  <si>
    <t>Város Szociális Intézmény</t>
  </si>
  <si>
    <t>Csurgó Város Önkormányzata bevételeinek és kiadásainak 2013. évi előirányzatai</t>
  </si>
  <si>
    <t>emelt 10fő*20000Ft*1 alkalom</t>
  </si>
  <si>
    <t>(10főX23600X8hó)</t>
  </si>
  <si>
    <t>Rendszeres pénzbeli ellátások összesen:</t>
  </si>
  <si>
    <t>Rendszeres gyermekvédelmi támogatás (100%)</t>
  </si>
  <si>
    <t>I. Önkormányzatok működésének általános támogatása</t>
  </si>
  <si>
    <t>II. Önkormányzat egyes köznevelési és gyermekétkeztetési feladatainak tám-a</t>
  </si>
  <si>
    <t>1. Óvodapedagógusok és az ő nevelő munkájukat segítők bértámogatása</t>
  </si>
  <si>
    <t>2. Óvodaműködtetési támogatás</t>
  </si>
  <si>
    <t>3. Ingyenes és kedvezményes gyermekétkeztetés támogatása össz.</t>
  </si>
  <si>
    <t xml:space="preserve"> - Ingyenes és kedvezményes intézményi étkeztetés-óvoda</t>
  </si>
  <si>
    <t xml:space="preserve"> - Ingyenes és kedvezményes intézményi étkeztetés-ált.iskola</t>
  </si>
  <si>
    <t xml:space="preserve"> - Ingyenes és kedvezményes intézményi étkeztetés-gimnázium</t>
  </si>
  <si>
    <t xml:space="preserve"> - Ingyenes és kedvezményes intézményi étkeztetés-szakközépisk.</t>
  </si>
  <si>
    <t xml:space="preserve"> - Ingyenes és kedvezményes intézményi étkeztetés-szakiskola</t>
  </si>
  <si>
    <t xml:space="preserve"> - Ingyenes és kedvezményes intézményi étkeztetés-kollégium</t>
  </si>
  <si>
    <t>4. Társulás által fenntartott óvodákba bejáró gyermekek utaztatásának tám-a</t>
  </si>
  <si>
    <t>III. Települési önkormányzatok szociális és gyermekjóléti feladatainak támogatása</t>
  </si>
  <si>
    <t xml:space="preserve"> - Szociális étkeztetés támogatása</t>
  </si>
  <si>
    <t xml:space="preserve"> - Házi segítségnyújtás</t>
  </si>
  <si>
    <t xml:space="preserve"> - Időskorúak nappali intézményi ellátása</t>
  </si>
  <si>
    <t>Kisértékű t.eszk. Beszerzése</t>
  </si>
  <si>
    <t>települési vízellátás</t>
  </si>
  <si>
    <t>kéményseprés 13600Ft/év+4,8%+5%+27%</t>
  </si>
  <si>
    <t>(szemétszállítás 776000Ft/év+4,9%+5%+27%</t>
  </si>
  <si>
    <t>(500fő*5800Ft*2 alkalom)</t>
  </si>
  <si>
    <t>Részm foglalk egyéb bérrend alá tart rendszeres juttatásai</t>
  </si>
  <si>
    <t>önkormányzat a munkáltató 13,5%</t>
  </si>
  <si>
    <t>BEVÉTEL</t>
  </si>
  <si>
    <t>Működési célú támogatásértékű bevétel fejezeti kezelésű szervtől</t>
  </si>
  <si>
    <t xml:space="preserve">étkezési hj.: </t>
  </si>
  <si>
    <t>Óvodáztatási támogatás</t>
  </si>
  <si>
    <t>alap 10fő*10000Ft*2alkalom</t>
  </si>
  <si>
    <t>Mozgáskorlátozottak közlekedési támogatása</t>
  </si>
  <si>
    <t>882119- Óvodáztatási támogatás</t>
  </si>
  <si>
    <t>Költségviselő</t>
  </si>
  <si>
    <t>engedélyezett létszám</t>
  </si>
  <si>
    <t>fő 5%</t>
  </si>
  <si>
    <t>eFt</t>
  </si>
  <si>
    <t>Rákóczi</t>
  </si>
  <si>
    <t>Somogyudvarhelyi iskola</t>
  </si>
  <si>
    <t>Réti J. Zeneiskola</t>
  </si>
  <si>
    <t>Ped. Szakszolgálat</t>
  </si>
  <si>
    <t>Könyvtár</t>
  </si>
  <si>
    <t>Múzeum</t>
  </si>
  <si>
    <t>Eü. Intézmény</t>
  </si>
  <si>
    <t>Bölcsőde</t>
  </si>
  <si>
    <t>Szoc.gond.int</t>
  </si>
  <si>
    <t>Önk.igazgatás</t>
  </si>
  <si>
    <t>Negyedévente Ft</t>
  </si>
  <si>
    <t>Szállítási szolgáltatás</t>
  </si>
  <si>
    <t>Opten jogtár 96048 Ft/év+27 %</t>
  </si>
  <si>
    <t>Cégtár 41316 Ft/év+27%</t>
  </si>
  <si>
    <t>Somogyi Hírlap 29600 Ft/év+5%</t>
  </si>
  <si>
    <t>posta  3500eFt/év+27%</t>
  </si>
  <si>
    <t>WinSzoc 51000/negyedév+27%</t>
  </si>
  <si>
    <t>Szabóné 2012 évi számlái 3077752eFt+27%</t>
  </si>
  <si>
    <t>(szemétszállítás 448819Ft/év+27%</t>
  </si>
  <si>
    <t>Seat biztosítás Casco 31396Ft/negyedév</t>
  </si>
  <si>
    <t>2012 évi adatok alapján</t>
  </si>
  <si>
    <t>gépjármű karbantartás 323eFt+27%</t>
  </si>
  <si>
    <t>Pressel Kft.</t>
  </si>
  <si>
    <t xml:space="preserve"> Informatika 220500Ft/hó+27%</t>
  </si>
  <si>
    <t>Kovács Andrásné</t>
  </si>
  <si>
    <t>2012. dec</t>
  </si>
  <si>
    <t>2013. jan</t>
  </si>
  <si>
    <t>2013. febr</t>
  </si>
  <si>
    <t>2013. márc</t>
  </si>
  <si>
    <t>2013. ápr</t>
  </si>
  <si>
    <t>2013. máj</t>
  </si>
  <si>
    <t>2013. jún</t>
  </si>
  <si>
    <t>2013. júl</t>
  </si>
  <si>
    <t>Radákné Pallag Mónika</t>
  </si>
  <si>
    <t>Vargáné Papp Ágnes</t>
  </si>
  <si>
    <t>1420800</t>
  </si>
  <si>
    <t>Tóth Rita</t>
  </si>
  <si>
    <t>Magyaros Rita</t>
  </si>
  <si>
    <t>MŰKÖDÉSI KIADÁSOK MINDÖSSZESEN:</t>
  </si>
  <si>
    <t>MŰKÖDÉSI BEVÉTELEK MINDÖSSZESEN:</t>
  </si>
  <si>
    <t>FEJLESZTÉSI KIADÁSOK</t>
  </si>
  <si>
    <t>FEJLESZTÉSI BEVÉTELEK</t>
  </si>
  <si>
    <t>Civil szervezetek támogatása</t>
  </si>
  <si>
    <t>Köztemetés</t>
  </si>
  <si>
    <t>Működési bevételek összesen</t>
  </si>
  <si>
    <t>További munkaviszonyt létesítők juttatásai</t>
  </si>
  <si>
    <t>Állományba nem tartozók egyéb juttatásai</t>
  </si>
  <si>
    <t>841126 - 113 - Önkormányzati igazgatás</t>
  </si>
  <si>
    <t>közlekedési költségtérítése</t>
  </si>
  <si>
    <t>Bérek</t>
  </si>
  <si>
    <t>Házi orvosi körzet</t>
  </si>
  <si>
    <t>Védőnők</t>
  </si>
  <si>
    <t>Képviselőtestület</t>
  </si>
  <si>
    <t>Közmunka</t>
  </si>
  <si>
    <t xml:space="preserve">Egyéb megbízási díjak </t>
  </si>
  <si>
    <t>Illetménykiegészítés</t>
  </si>
  <si>
    <t>III. háziorvosi körzet</t>
  </si>
  <si>
    <t>Járulékok</t>
  </si>
  <si>
    <t>MUNKAADÓT TERHELŐ JÁRULÉKOK ÖSSZESEN:</t>
  </si>
  <si>
    <t xml:space="preserve">Irodaszer nyomtatvány </t>
  </si>
  <si>
    <t>54 Készletbeszerzések</t>
  </si>
  <si>
    <t xml:space="preserve">Szakmai anyag, kisért. t. eszk., szellemi termék </t>
  </si>
  <si>
    <t>Egyéb készlet</t>
  </si>
  <si>
    <t>55 Szolgáltatások</t>
  </si>
  <si>
    <t>Nem adatátviteli célú távközlési díjak</t>
  </si>
  <si>
    <t>Egyéb kommunikáció szolg.</t>
  </si>
  <si>
    <t>Gázenergia-szolgáltatás díjak</t>
  </si>
  <si>
    <t>Villamosenergia-szolgáltatás díjak</t>
  </si>
  <si>
    <t>Víz- és csatorna díjak</t>
  </si>
  <si>
    <t>Karbantartási, kisjavítási szolgáltatások</t>
  </si>
  <si>
    <t>56 Különféle dologi kiadások</t>
  </si>
  <si>
    <t>Vásárolt term. és szolg. Áfá-ja</t>
  </si>
  <si>
    <t>Belföldi kiküldetés</t>
  </si>
  <si>
    <t>Reprezentáció</t>
  </si>
  <si>
    <t>Lejárat éve</t>
  </si>
  <si>
    <t>(orvosi vizsgálat) 6200Ft/fő*45 fő</t>
  </si>
  <si>
    <t>Folyósítás éve</t>
  </si>
  <si>
    <t>Folyósított összeg</t>
  </si>
  <si>
    <t>nyelvpótlék</t>
  </si>
  <si>
    <t>Jubileumi jutalom</t>
  </si>
  <si>
    <t>Végkielégítés</t>
  </si>
  <si>
    <t>Lőczi János</t>
  </si>
  <si>
    <t>CSKTT-től munkaszervezetre átvett</t>
  </si>
  <si>
    <t>CSKTT-től irodafenntartásra átvett</t>
  </si>
  <si>
    <t>Közlekedési támogatás (mozgáskorlátozottak)</t>
  </si>
  <si>
    <t>ÖNKORMÁNYZATOK SAJÁTOS MŰKÖDÉSI BEVÉTELEI</t>
  </si>
  <si>
    <t>Egyéb sajátos folyó bevételek</t>
  </si>
  <si>
    <t>Létszám</t>
  </si>
  <si>
    <t>M.adót terh jár.</t>
  </si>
  <si>
    <t>(eredeti ei.)</t>
  </si>
  <si>
    <t>Ellátottak p. jutt.</t>
  </si>
  <si>
    <t>Városi Uszoda működtetésére</t>
  </si>
  <si>
    <t>(egyéb)</t>
  </si>
  <si>
    <t>Reklám, propaganda</t>
  </si>
  <si>
    <t>Bejáró tanulókra átvett</t>
  </si>
  <si>
    <t>Körjegyzőségre átvett</t>
  </si>
  <si>
    <t>Tartalék</t>
  </si>
  <si>
    <t>Egyéb üzemeltetési, fenntartási szolgáltatások</t>
  </si>
  <si>
    <t>Intézmény neve</t>
  </si>
  <si>
    <t>Dologi kiad.</t>
  </si>
  <si>
    <t>Személyi juttat.</t>
  </si>
  <si>
    <t>Kiadások összesen</t>
  </si>
  <si>
    <t>Bevételek összesen</t>
  </si>
  <si>
    <t>Megnevezés</t>
  </si>
  <si>
    <t>Összesen</t>
  </si>
  <si>
    <t>a)</t>
  </si>
  <si>
    <t>b)</t>
  </si>
  <si>
    <t>2004.</t>
  </si>
  <si>
    <t>2023.</t>
  </si>
  <si>
    <t>2006.</t>
  </si>
  <si>
    <t>2013.</t>
  </si>
  <si>
    <t>Fejlesztési hitelek kiváltására felvett hitel</t>
  </si>
  <si>
    <t>2007.</t>
  </si>
  <si>
    <t>2022.</t>
  </si>
  <si>
    <t>Volt Napsugár Szöv. Ingatlanának megvásárlására</t>
  </si>
  <si>
    <t>Többcélú Társulástól tám.ért.bevételek</t>
  </si>
  <si>
    <t>5.</t>
  </si>
  <si>
    <t>6.</t>
  </si>
  <si>
    <t>7.</t>
  </si>
  <si>
    <t>8.</t>
  </si>
  <si>
    <t>9.</t>
  </si>
  <si>
    <t>10.</t>
  </si>
  <si>
    <t>c)</t>
  </si>
  <si>
    <t>Szociális étkeztetés</t>
  </si>
  <si>
    <t>d)</t>
  </si>
  <si>
    <t>e)</t>
  </si>
  <si>
    <t>f)</t>
  </si>
  <si>
    <t>g)</t>
  </si>
  <si>
    <t>h)</t>
  </si>
  <si>
    <t>i)</t>
  </si>
  <si>
    <t>j)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</si>
  <si>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</si>
  <si>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</si>
  <si>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</si>
  <si>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</si>
  <si>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</si>
  <si>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</si>
  <si>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</si>
  <si>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</si>
  <si>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</si>
  <si>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</si>
  <si>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Köztisztviselők napidíja</t>
  </si>
  <si>
    <t>Köztisztviselők közlekedési költségtér.</t>
  </si>
  <si>
    <t>SZEMÉLYI JUTTATÁSOK ÖSSZESEN</t>
  </si>
  <si>
    <t>Irodaszer, nyomtatvány</t>
  </si>
  <si>
    <t>Könyvbeszerzés</t>
  </si>
  <si>
    <t>Kisértékű tárgyi eszköz beszerzése</t>
  </si>
  <si>
    <t>Távközlési díjak</t>
  </si>
  <si>
    <t>Egyéb üzemeltetési, fennt., szolg.</t>
  </si>
  <si>
    <t>Vás.term.szolg.áfája</t>
  </si>
  <si>
    <t>DOLOGI KIADÁSOK ÖSSZESEN</t>
  </si>
  <si>
    <t>MŰKÖDÉSI KIADÁSOK ÖSSZESEN</t>
  </si>
  <si>
    <t>ÖSSZESEN:</t>
  </si>
  <si>
    <t>1. Városi Iskolák és Óvodák</t>
  </si>
  <si>
    <t>2012. aug</t>
  </si>
  <si>
    <t>2012. szept</t>
  </si>
  <si>
    <t>2012. okt</t>
  </si>
  <si>
    <t>2012. nov</t>
  </si>
  <si>
    <t>Gombor Brigitta</t>
  </si>
  <si>
    <t>Ilia-Sikesdi Veronika</t>
  </si>
  <si>
    <t>Csenei Áron</t>
  </si>
  <si>
    <t>Lakásfenntartási támogatás (normatív) (90 %-os)</t>
  </si>
  <si>
    <t>(szociális étkezési díj támogatás /öregek/)</t>
  </si>
  <si>
    <t>Szociális étkeztezés</t>
  </si>
  <si>
    <t>Rendszeres gyv. támogatás (90%-os)</t>
  </si>
  <si>
    <t>Rendszeres szoc. segély (90%-os)</t>
  </si>
  <si>
    <t>Lakásfenntartási támogatás (méltányos)</t>
  </si>
  <si>
    <t>Közlekedési támogatás (100 %-os)</t>
  </si>
  <si>
    <t>Helyi bérletek</t>
  </si>
  <si>
    <t>Rendkívüli gyv támogatás</t>
  </si>
  <si>
    <t>MŰKÖDÉSI CÉLÚ HITEL- ÉS KAMATTÖRLESZTÉS</t>
  </si>
  <si>
    <t>MŰK. CÉLÚ HITEL- ÉS KAMATTÖRLESZTÉS ÖSSZESEN:</t>
  </si>
  <si>
    <t>Építményadó</t>
  </si>
  <si>
    <t>Magánszemélyek kommunális adója</t>
  </si>
  <si>
    <t>Ft</t>
  </si>
  <si>
    <t>SZJA jöv. különbség mérséklésére</t>
  </si>
  <si>
    <t>Talajterhelési díj</t>
  </si>
  <si>
    <t>Önk sajátos működési bev</t>
  </si>
  <si>
    <t>Működési célú pénzeszk átvétel</t>
  </si>
  <si>
    <t>Műk. célú hitelfelv.</t>
  </si>
  <si>
    <t>(mód. ei.)</t>
  </si>
  <si>
    <t>CSKTT-től köt feladatokra átvett normatíva</t>
  </si>
  <si>
    <t>Mozgáskorlátozottak közl. támogatás</t>
  </si>
  <si>
    <t>3. Városi Szoc. Int.</t>
  </si>
  <si>
    <t xml:space="preserve"> 3. Városi Szoc. Int.</t>
  </si>
  <si>
    <t>Működési célú hitel</t>
  </si>
  <si>
    <t>Helyi adók</t>
  </si>
  <si>
    <t>Lakás- és helységbérlet</t>
  </si>
  <si>
    <t>Polgárvédelemre önkormányzatoktól</t>
  </si>
  <si>
    <t>Működési bevételek összesen:</t>
  </si>
  <si>
    <t>Önk. sajátos műk. bev.</t>
  </si>
  <si>
    <t>Műk. célú pénzeszk. átvétel</t>
  </si>
  <si>
    <t>Részben önállóan gazdálkodó intézmények:</t>
  </si>
  <si>
    <t xml:space="preserve"> 2. Városi Könyvtár - Múzeum</t>
  </si>
  <si>
    <t>-Városi Könyvtár</t>
  </si>
  <si>
    <t>-Múzeum</t>
  </si>
  <si>
    <t>-Városi Bölcsőde</t>
  </si>
  <si>
    <t>-Városi Szoc. Int.</t>
  </si>
  <si>
    <t>Részben önállóan gazdálkodó intézmények össz.:</t>
  </si>
  <si>
    <t>ÖNKORMÁNYZAT ÖSSZ.:</t>
  </si>
  <si>
    <t>2. Céltartalék</t>
  </si>
  <si>
    <t>Személyi juttatások</t>
  </si>
  <si>
    <t>1. Önállóan működő költségvetési szervek</t>
  </si>
  <si>
    <t>a) Csurgó TV működtetése</t>
  </si>
  <si>
    <t>Főkönyv</t>
  </si>
  <si>
    <t>Szakfeladat</t>
  </si>
  <si>
    <t>kód</t>
  </si>
  <si>
    <t>1. Tárgyi eszközök, immateriális javak értékesítése</t>
  </si>
  <si>
    <t>Meller kastély értékesítése</t>
  </si>
  <si>
    <t>Budapest bank értékesítése</t>
  </si>
  <si>
    <t>Önkormányzati lakások értékesítése</t>
  </si>
  <si>
    <t>Lőtér értékesítése</t>
  </si>
  <si>
    <t xml:space="preserve">I. Felhalmozási és tőkejellegű bevételek </t>
  </si>
  <si>
    <t>Ingatlanértékesítések összesen</t>
  </si>
  <si>
    <t>Közös Önkormányzati Hivatal összesen</t>
  </si>
  <si>
    <t>Csurgó Város Önkormányzatának és a Közös Önkormányzati Hivatalának igazgatási és szakfeladatos működési bevételeinek előirányzata 2013. évben</t>
  </si>
  <si>
    <t>2. felhalmozási bevételek és kiadások különbözete (felhalmozási hiány)</t>
  </si>
  <si>
    <t>(bevételek és kiadások havi ütemezése)</t>
  </si>
  <si>
    <t>Csurgó Város Közös Önkormányzati Hivatala szakfeladatos és önállóan működő intézmények működési bevételeinek előirányzatai 2013. évben</t>
  </si>
  <si>
    <t>Közös Önk. Hiv. szakfeladatos működési bevételei össz.:</t>
  </si>
  <si>
    <t>Önkormányzat és a közös önkormányzati hivatal igazgatási és szakfeladatos működési kiadásai összesen</t>
  </si>
  <si>
    <t>Csurgó Város Önkormányzatának és Közös Önkormányzati  Hivatalának igazgatási és szakfeladatos működési kiadási előirányzata 2013. évben</t>
  </si>
  <si>
    <t>Önkormányzat és közös önkormányzati hivatal igazgatási és szakfeladatos működési kiadásai összesen</t>
  </si>
  <si>
    <t>Részben önállóan gazdálkodó intézmények összesen</t>
  </si>
  <si>
    <t>Kamatmentes építési kölcsön törlesztése</t>
  </si>
  <si>
    <t>Földhaszonbérleti díjak</t>
  </si>
  <si>
    <t>Közterületbérleti díjak</t>
  </si>
  <si>
    <t>Víziközmű használati díj bevétele adóalap</t>
  </si>
  <si>
    <t>Víziközmű használati díj bevétele áfa</t>
  </si>
  <si>
    <t>Önkormányzatok sajátos felhalmozási és tőkebevételei összesen</t>
  </si>
  <si>
    <t>Járulék</t>
  </si>
  <si>
    <t>Dologi</t>
  </si>
  <si>
    <t>Fejlesztési kiadások</t>
  </si>
  <si>
    <t>Bevételek</t>
  </si>
  <si>
    <t>Bursa Hungarica</t>
  </si>
  <si>
    <t>3.1. melléklet</t>
  </si>
  <si>
    <t>…/2012. (…..) sz. rendelet</t>
  </si>
  <si>
    <t>2012. évi előirányzatai</t>
  </si>
  <si>
    <t>1. melléklet</t>
  </si>
  <si>
    <t>1.1 melléklet</t>
  </si>
  <si>
    <t>ÁHT.-N KÍVÜLRŐL MŰKÖDÉSRE ÁTVETT PÉNZESZKÖZÖK ÖSSZESEN</t>
  </si>
  <si>
    <t>Lakosságtól szennyvízberuházásra átvett</t>
  </si>
  <si>
    <t>Folyószámlahitel</t>
  </si>
  <si>
    <t>Hosszúlejáratú hitelek kamattörlesztése összesen</t>
  </si>
  <si>
    <t>3 havi BUBOR és 4,5 % (12%)</t>
  </si>
  <si>
    <t>Csurgó Belterületi Vízrendezés áfa</t>
  </si>
  <si>
    <t>könyvvizsgálat  100 eFt/hó</t>
  </si>
  <si>
    <t>(orvosi vizsgálat) 76.000/n.év</t>
  </si>
  <si>
    <t xml:space="preserve">ügyvédi költség, szaktanácsadás, közbeszerzés, pályázatírás </t>
  </si>
  <si>
    <t>Munkavédelmi oktatás 190500*1,57</t>
  </si>
  <si>
    <t>soros: 2013.12.25</t>
  </si>
  <si>
    <t>soros: 2013.12.03</t>
  </si>
  <si>
    <t>soros: 2013.02.15</t>
  </si>
  <si>
    <t>Karbantartás, kisjavítás</t>
  </si>
  <si>
    <t>Magánszemélyek komm. Adója</t>
  </si>
  <si>
    <t>Zöldterület-gazdálkodással kapcsolatos feladatok tám-a</t>
  </si>
  <si>
    <t>Közvilágítás fenntartásának támogatása</t>
  </si>
  <si>
    <t>Közutak fenntartásának támogatása</t>
  </si>
  <si>
    <t>Köztemető fenntartásának támogatása</t>
  </si>
  <si>
    <t>Egyéb kötelező önkormányzati feladatok támogatása</t>
  </si>
  <si>
    <t>1.Egyes jövedelempótló támogatások kiegészítése</t>
  </si>
  <si>
    <t>2.Hozzájárulás a pénzbeli szociális ellátásokhoz</t>
  </si>
  <si>
    <t>3. Egyes szociális és gyermekjóléti feladatok támogatása</t>
  </si>
  <si>
    <t>5831162/882116</t>
  </si>
  <si>
    <t xml:space="preserve"> 136 - Eseti pénzb. ellátások</t>
  </si>
  <si>
    <t>5831149/882114</t>
  </si>
  <si>
    <t>5831172/882123</t>
  </si>
  <si>
    <t>5831225/882203</t>
  </si>
  <si>
    <t>583123/882202</t>
  </si>
  <si>
    <t>5831171/882129</t>
  </si>
  <si>
    <t>882124 - 136 - Eseti pénzb. gyv. ellátások</t>
  </si>
  <si>
    <t>841126 - 116 Finanszírozási műveletek elszámolása</t>
  </si>
  <si>
    <t xml:space="preserve">Köztisztviselő jubileumi jutaloma </t>
  </si>
  <si>
    <t>Munkáltató által fizetett SZJA</t>
  </si>
  <si>
    <t>Köztisztviselők üdülési hozzájárulása</t>
  </si>
  <si>
    <t xml:space="preserve">Teljesítményértékelésre keret: </t>
  </si>
  <si>
    <t>Köztisztviselők keresetkiegészítése</t>
  </si>
  <si>
    <t>841133 - 116 - Adó kiszabása, beszedése</t>
  </si>
  <si>
    <t>Egészségbiztosítási és munkaerőpiaci járulék</t>
  </si>
  <si>
    <t>Munkáltató által fizetendő SZJA</t>
  </si>
  <si>
    <t>Ápolási díj TB járuléka 24 %</t>
  </si>
  <si>
    <t>53112/882116</t>
  </si>
  <si>
    <t>Járulékok összesen:</t>
  </si>
  <si>
    <t>Ápolási díj TB járuléka (24%)</t>
  </si>
  <si>
    <t>Normatív kötött támogatás</t>
  </si>
  <si>
    <t>Viziközmű felújítás (használati díjból)</t>
  </si>
  <si>
    <t>Tűzoltóság eszközök beszerzésének pályázati önereje (10 %)</t>
  </si>
  <si>
    <t>Tűzoltóság tűzoltóautóra felvett hitel törlesztésére átadás</t>
  </si>
  <si>
    <t>Kiszámlázott helyiségbérleti díjak áfa befizetése</t>
  </si>
  <si>
    <t>91 Intézményi működési bevételek</t>
  </si>
  <si>
    <t>Kiszámlázott helyiségbérleti díjak áfája</t>
  </si>
  <si>
    <t>INTÉZMÉNYI MŰKÖDÉSI BEVÉTELEK ÖSSZESEN</t>
  </si>
  <si>
    <t>MŰKÖDÉSI BEVÉTELEK ÖSSZESEN</t>
  </si>
  <si>
    <t>össz.</t>
  </si>
  <si>
    <t>CSKTT-től kötelező feladatokra átvett normatívák</t>
  </si>
  <si>
    <t>Teljes munkaidőben foglalkoztatottak szem. jutt. össz.:</t>
  </si>
  <si>
    <t>szakfeladat</t>
  </si>
  <si>
    <t xml:space="preserve">MŰKÖDÉSI CÉLÚ PÉNZESZKÖZ ÁTADÁS </t>
  </si>
  <si>
    <t>381152…</t>
  </si>
  <si>
    <t xml:space="preserve">    bölcsődei ellátás</t>
  </si>
  <si>
    <t>Csurgói Városi Óvodák</t>
  </si>
  <si>
    <t xml:space="preserve">      Önkormányzat átadott</t>
  </si>
  <si>
    <t>Közfoglalkoztatásra Munkaügyi Központtól 2012</t>
  </si>
  <si>
    <t>Bérkompenzáció</t>
  </si>
  <si>
    <t>Nyárádi 12. 9 961 Ft/negyedév</t>
  </si>
  <si>
    <t>Nyárádi 4. 35801 Ft/negyedév</t>
  </si>
  <si>
    <t>Nyárádi 1. 38667 Ft/negyedév</t>
  </si>
  <si>
    <t>Egyéb Sporttámogatások</t>
  </si>
  <si>
    <t>Csurgó Belterületi Vízrendezés</t>
  </si>
  <si>
    <t>Csurgó Belterületi Vízrendezés EU Önerő Alap</t>
  </si>
  <si>
    <t>"Hagyomány és Innováció" Iskolai pályázat</t>
  </si>
  <si>
    <t>Tűzoltó köztestületre átvett támogatás</t>
  </si>
  <si>
    <t>S.M.Önk.-tól foglalkoztatásra átvett</t>
  </si>
  <si>
    <t>Csurgói Városgazdálkodási Kft.-nek működésre átadás</t>
  </si>
  <si>
    <t>ÁLTALÁNOS TARTALÉK</t>
  </si>
  <si>
    <t>Általános tartalék</t>
  </si>
  <si>
    <t>CÉLTARTALÉK</t>
  </si>
  <si>
    <t>TARTALÉKOK ÖSSZESEN:</t>
  </si>
  <si>
    <t>KIADÁSOK</t>
  </si>
  <si>
    <t>Munkaadókat terhelő járulékok</t>
  </si>
  <si>
    <t>Dologi kiadások</t>
  </si>
  <si>
    <t>Pénzeszköz átadás</t>
  </si>
  <si>
    <t>Kiadások összesen:</t>
  </si>
  <si>
    <t>BEVÉTELEK</t>
  </si>
  <si>
    <t>Sajátos működési bevétel</t>
  </si>
  <si>
    <t>Hely önkormányzati támogatás</t>
  </si>
  <si>
    <t>Munkaügyi központt tám. közmunkára</t>
  </si>
  <si>
    <t>Bevételek összesen:</t>
  </si>
  <si>
    <t>Hónap</t>
  </si>
  <si>
    <t>Ütemezett várható bevételek</t>
  </si>
  <si>
    <t>Ütemezett várható kiadások</t>
  </si>
  <si>
    <t>Halmozott hitel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</si>
  <si>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</si>
  <si>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</si>
  <si>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</si>
  <si>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</si>
  <si>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</si>
  <si>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</si>
  <si>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</si>
  <si>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</si>
  <si>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</si>
  <si>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</si>
  <si>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</si>
  <si>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</si>
  <si>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Ellátottak térítési díjának elengedése</t>
  </si>
  <si>
    <t>adóelengedés</t>
  </si>
  <si>
    <t>Összesen e Ft</t>
  </si>
  <si>
    <t>méltányosság</t>
  </si>
  <si>
    <t>1 millió Ft adóalap alatti kedvezmény</t>
  </si>
  <si>
    <t>Saját bevételek:</t>
  </si>
  <si>
    <t>helyi adók: (+)</t>
  </si>
  <si>
    <t>gépjárműadó: (+)</t>
  </si>
  <si>
    <t>környezetvédelmi bírság: (+)</t>
  </si>
  <si>
    <t>talajterhelési díj (+)</t>
  </si>
  <si>
    <t>lakás-, és helyiségbérlet (+)</t>
  </si>
  <si>
    <t>föld haszonbérlet (+)</t>
  </si>
  <si>
    <t>Csurgói Torna Klub</t>
  </si>
  <si>
    <t>Női Kézilabda Klub</t>
  </si>
  <si>
    <t>Egyéb sport támogatások</t>
  </si>
  <si>
    <t>Egyéb működési kiadások</t>
  </si>
  <si>
    <t>I. Működési bevételek</t>
  </si>
  <si>
    <t>1. Illetékek</t>
  </si>
  <si>
    <t>2. Helyi adók</t>
  </si>
  <si>
    <t>3. Átengedett központi adók</t>
  </si>
  <si>
    <t>b. gépjárműadó</t>
  </si>
  <si>
    <t>4. Bírságok, pótlékok és egyéb sajátos bevételek</t>
  </si>
  <si>
    <t>a. környezetvédelmi bírság</t>
  </si>
  <si>
    <t>b. talajterhelési díj</t>
  </si>
  <si>
    <t>c. egyéb sajátos bevételek</t>
  </si>
  <si>
    <t>2. Központosított előirányzatok</t>
  </si>
  <si>
    <t>3. Helyi önkormányzatok kiegészítő támogatása</t>
  </si>
  <si>
    <t>4. Helyi önkormányzatok álltal fenntartott, illetve támogatott előadő- művészeti szervezetek támogatása</t>
  </si>
  <si>
    <t>11. melléklet</t>
  </si>
  <si>
    <t>Köztisztviselők alapvizsga (7fő), szakvizsga (3 fő)</t>
  </si>
  <si>
    <t>Jézus Szíve Katolikus Plébánia felújítására (Városrehabilitáció konzorciós partner) önerőre átvett pénzeszköz</t>
  </si>
  <si>
    <t>Felhalmozási célra államháztartáson kívülről átvett pénzeszközök összesen</t>
  </si>
  <si>
    <t>Cafeteria</t>
  </si>
  <si>
    <t>Egyéb dologi</t>
  </si>
  <si>
    <t>IV. Költségvetési támogatások felhalmozásra</t>
  </si>
  <si>
    <t>841125-115</t>
  </si>
  <si>
    <t>ÖNKORMÁNYZATOK SAJÁTOS BEV. ÖSSZESEN:</t>
  </si>
  <si>
    <t>Személyügy</t>
  </si>
  <si>
    <t>36.</t>
  </si>
  <si>
    <t xml:space="preserve">További munkaviszonyt létesítők juttatásai </t>
  </si>
  <si>
    <t>Éleslátást biztosító szemüveg (5 fő X 38.650 Ft X 0,3)</t>
  </si>
  <si>
    <t>Horváth Gyula</t>
  </si>
  <si>
    <t>Megbízási díjak</t>
  </si>
  <si>
    <t>Önkormányzati igazgatás</t>
  </si>
  <si>
    <t>Külső személyi juttatás</t>
  </si>
  <si>
    <t>Személyi összesen</t>
  </si>
  <si>
    <t>Secor Security Kft 24.765Ft/hó+27%+5,7%</t>
  </si>
  <si>
    <t>uszodához</t>
  </si>
  <si>
    <t>Netteam jogszabálykövetés díja 173000Ft/év áfával</t>
  </si>
  <si>
    <t>(10 fő x 40.000 Ft)</t>
  </si>
  <si>
    <t>Csurgói Közös Önkormányzati Hivatal</t>
  </si>
  <si>
    <t xml:space="preserve">   6. Önkormányzat működőképessége megőrzését szolgáló kiegészítő támogatás </t>
  </si>
  <si>
    <t>Szükséges plusz állami támogatás</t>
  </si>
  <si>
    <t>g. Adósságkonszolidáció révén kapott támogatás</t>
  </si>
  <si>
    <t>f. Csurgó és térsége szennyvízelvezetés és tisztítás II. ütem (EU Önerő Alap)</t>
  </si>
  <si>
    <t>8. Csurgó és térsége szennyvízelvezetés és tisztítás II. ütem (EU Önerő Alap átadása)</t>
  </si>
  <si>
    <t>h. Csurgó és térsége szennyvízelvezetés és tisztítás II. ütem (EU Önerő Alap átadása)</t>
  </si>
  <si>
    <t>Eredeti előirányzat (2013. évi terv adatok)</t>
  </si>
  <si>
    <t>2012. évi terv adatok</t>
  </si>
  <si>
    <t>2011. évi tényadatok</t>
  </si>
  <si>
    <t>Közgyógyellátás - méltányos</t>
  </si>
  <si>
    <t>Óvodai intézményi étkeztetés</t>
  </si>
  <si>
    <t>Iskolai intézményi étkeztetés</t>
  </si>
  <si>
    <t>Munkahelyi intézményi étkeztetés</t>
  </si>
  <si>
    <t>Egyéb étkeztetés (ÖNO, falusi öregek)</t>
  </si>
  <si>
    <t>Egyéb vendéglátás</t>
  </si>
  <si>
    <t>Munkahelyi étkeztetés</t>
  </si>
  <si>
    <t xml:space="preserve">   Egyéb étkeztetés (ÖNO, falusi öregek)</t>
  </si>
  <si>
    <t xml:space="preserve">   Egyéb vendéglátás</t>
  </si>
  <si>
    <t>V. Felhalmozási kiadásokhoz kapcsolódó áfa visszatérülés</t>
  </si>
  <si>
    <t>VI. Fejlesztési célú hitelek felvétele</t>
  </si>
  <si>
    <t>Fejlesztési célú hitelek felvétele összesen</t>
  </si>
  <si>
    <t>FELHALMOZÁSI BEVÉTELEK</t>
  </si>
  <si>
    <t>FELHALMOZÁSI KIADÁSOK</t>
  </si>
  <si>
    <t>Városrehabilitáció (LHH) áfa</t>
  </si>
  <si>
    <t>Jézus Szíve Katolikus Plébánia felújítás (Városrehabilitáció konzorciós partner)</t>
  </si>
  <si>
    <t>Jézus Szíve Katolikus Plébánia felújítás (Városrehabilitáció konzorciós partner) áfa</t>
  </si>
  <si>
    <t>Víziközmű felújítás (használati díjból)</t>
  </si>
  <si>
    <t>FELÚJÍTÁSOK ÖSSZESEN</t>
  </si>
  <si>
    <t>II. Áthúzódó beruházások</t>
  </si>
  <si>
    <t>III. Új beruházások</t>
  </si>
  <si>
    <t>1. Építési beruházások</t>
  </si>
  <si>
    <t xml:space="preserve">       -ebből intézményeknek átadott</t>
  </si>
  <si>
    <t>ÖNHIKI bevétel</t>
  </si>
  <si>
    <t>Önkormányzati lakások (Rákóczi 110.) értékesítése</t>
  </si>
  <si>
    <t xml:space="preserve">  Fejlesztési céltartalék</t>
  </si>
  <si>
    <t xml:space="preserve">   Általános tartalék</t>
  </si>
  <si>
    <t xml:space="preserve">   Céltartalék</t>
  </si>
  <si>
    <t>7 fő képviselő x 45.000 Ft/hó/fő x (12 hó) =</t>
  </si>
  <si>
    <t>Egyéb bérrendszer munkabére (alpolgármester)</t>
  </si>
  <si>
    <t>jegyzőkönyvkötés 121800Ft/év+27%</t>
  </si>
  <si>
    <t>Önkormányzat összesen</t>
  </si>
  <si>
    <t>Igazgatás</t>
  </si>
  <si>
    <t>Civil szervezetek elnyert Leader támogatásának megelőlegezésére alap</t>
  </si>
  <si>
    <t>II. Felhalmozási támogatások</t>
  </si>
  <si>
    <t>1. Központosított előirányzatokból fejlesztési célúak</t>
  </si>
  <si>
    <t>2. Fejlesztési célú támogatások</t>
  </si>
  <si>
    <t>III. Egyéb felhalmozási bevételek</t>
  </si>
  <si>
    <t>1. Támogatásértékű felhalmozási bevételek összesen</t>
  </si>
  <si>
    <t>2. Felhalmozási célú pénzeszköz átvétel államháztartáson kívülről</t>
  </si>
  <si>
    <t>h. Határon átnyuló (IPA)</t>
  </si>
  <si>
    <t>Vagyonbiztosítás (Uniqua) 585 eFt/n.év</t>
  </si>
  <si>
    <t>Opel biztosítás 36872/év</t>
  </si>
  <si>
    <t>Utánfutó 2335/év</t>
  </si>
  <si>
    <t>E-on 481 eFt/hó</t>
  </si>
  <si>
    <t>Biztosítás autó 7836/n.év</t>
  </si>
  <si>
    <t>Biztosítás autó 14142/n.év</t>
  </si>
  <si>
    <t>Egészségügyi Szolgáltató Nonprofit Kft.-nek átadás</t>
  </si>
  <si>
    <t>MUNKADAÓT TERH.JÁRULÉKOK ÖSSZ.</t>
  </si>
  <si>
    <t>I. Beruházási kiadások áfával</t>
  </si>
  <si>
    <t>1. Áthúzódó beruházások</t>
  </si>
  <si>
    <t>2. Új beruházások</t>
  </si>
  <si>
    <t>c. Gép, berendezés beszerzése</t>
  </si>
  <si>
    <t>b. Földterület vásárlása</t>
  </si>
  <si>
    <t>a. Építési beruházások</t>
  </si>
  <si>
    <t>d. Immateriális javak</t>
  </si>
  <si>
    <t>II. Felújítási kiadások áfával</t>
  </si>
  <si>
    <t>1. Áthúzódó felújítások</t>
  </si>
  <si>
    <t>2. Új felújítások</t>
  </si>
  <si>
    <t>III. Egyéb felhalmozási kiadások</t>
  </si>
  <si>
    <t>1. Támogatásértékű felhalmozási kiadás</t>
  </si>
  <si>
    <t>2. Felhalmozási célú pénzeszközök átadás áht-n kívülre</t>
  </si>
  <si>
    <t>3. Előző évi felhalmozási célú előirányzat- maradvány, pénzmaradvány átadás</t>
  </si>
  <si>
    <t>VIII. Fejlesztési célú tartalék</t>
  </si>
  <si>
    <t>5. Sportcsarnok fenntartói szolgáltatási díj</t>
  </si>
  <si>
    <t>Biztosítás 6084*2</t>
  </si>
  <si>
    <t>6. Értékesített tárgyi eszközök, immateriális javak áfa befizetése</t>
  </si>
  <si>
    <t>a. működési célra</t>
  </si>
  <si>
    <t>b. felhalmozási célra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</si>
  <si>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</si>
  <si>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</si>
  <si>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</si>
  <si>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</si>
  <si>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</si>
  <si>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</si>
  <si>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</si>
  <si>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Csurgó Város Helyi Cigány Nemzetiségi Önkormányzat</t>
  </si>
  <si>
    <t>12. melléklet</t>
  </si>
  <si>
    <t>Ellátottak pénzbeli juttatásai</t>
  </si>
  <si>
    <t>Helyi önkormányzati támogatás</t>
  </si>
  <si>
    <t xml:space="preserve">    ebből</t>
  </si>
  <si>
    <t xml:space="preserve">      Bejáró tanulókra átvett</t>
  </si>
  <si>
    <t>Egyéb működési bevétel</t>
  </si>
  <si>
    <t>13. melléklet</t>
  </si>
  <si>
    <t>2011. évben elvégzett munkák</t>
  </si>
  <si>
    <t>Csurgói Városgazdálkodási Kft.</t>
  </si>
  <si>
    <t xml:space="preserve">Időszak: </t>
  </si>
  <si>
    <t>2011. január 01.- december 31.</t>
  </si>
  <si>
    <t>Egység</t>
  </si>
  <si>
    <t>Intézmény, szakfeladat</t>
  </si>
  <si>
    <t>Ráfordított óraszám</t>
  </si>
  <si>
    <t>Bérköltség Bér+Járulék</t>
  </si>
  <si>
    <t>Anyagköltség / Ft /</t>
  </si>
  <si>
    <t>Kód</t>
  </si>
  <si>
    <t>megnevezése</t>
  </si>
  <si>
    <t>/ óra /</t>
  </si>
  <si>
    <t>/ Ft /</t>
  </si>
  <si>
    <t>0**</t>
  </si>
  <si>
    <t>Intézmények</t>
  </si>
  <si>
    <t>011</t>
  </si>
  <si>
    <t>Eötvös Iskola oktatás</t>
  </si>
  <si>
    <t>016</t>
  </si>
  <si>
    <t>Tanulók, óvodások létszáma, fő</t>
  </si>
  <si>
    <t>Bogdán Zita</t>
  </si>
  <si>
    <t>1 tanulóra, óvodásra jutó költsg., Ft</t>
  </si>
  <si>
    <t>Bejáró tanuló létszáma, fő</t>
  </si>
  <si>
    <t>1 bejáró tanulóra, óvodásra jutó költség, Ft</t>
  </si>
  <si>
    <t>1 bejáróra jutó bejáró támogatás, Ft</t>
  </si>
  <si>
    <t>2027.</t>
  </si>
  <si>
    <t xml:space="preserve">Csurgó Város Önkormányzatának hosszúlejáratú hitelállománya és lízing díjai lejárat és eszközök szerinti bontásban  </t>
  </si>
  <si>
    <t>2017.</t>
  </si>
  <si>
    <t>Szállítási költség</t>
  </si>
  <si>
    <t>2009.</t>
  </si>
  <si>
    <t>2010.</t>
  </si>
  <si>
    <t>2011.</t>
  </si>
  <si>
    <t>IV. Felhalmozási kiadásokhoz kapcsolódó áfa visszatérülés</t>
  </si>
  <si>
    <t>V. Felhalmozási célú hitelek felvétele</t>
  </si>
  <si>
    <t>VI. Előző évi fejlesztési pénzmaradvány igénybevétele</t>
  </si>
  <si>
    <t>4. Felhalmozási kiadásokhoz kapcsolódó áfa visszatérülése</t>
  </si>
  <si>
    <t>c. "Hagyomány és Innováció" oktatási pályázat DDOP (Iskola)</t>
  </si>
  <si>
    <t>b. Csurgó Belterületi Vízrendezés</t>
  </si>
  <si>
    <t xml:space="preserve">   1. Mozgókönyvtár ügyviteli eszközök</t>
  </si>
  <si>
    <t xml:space="preserve">   2.Tárgyi eszközök könyvtár (TIOP-1.2.3)</t>
  </si>
  <si>
    <t xml:space="preserve">   1. szellemi termékek könyvtár (TIOP-1.2.3)</t>
  </si>
  <si>
    <t>d. Csurgói Ivóvízminőség-javító program</t>
  </si>
  <si>
    <t>5. Egyéb központi támogatás (adósságkonszolidáció)</t>
  </si>
  <si>
    <t>d. "Hagyomány és Innováció" Iskolai pályázat (DDOP) (EU Önerő Alap)</t>
  </si>
  <si>
    <t>e. Csurgói Ivóvízminőség-javító program (KEOP) (EU Önerő Alap)</t>
  </si>
  <si>
    <t>a. Pótlékok</t>
  </si>
  <si>
    <t xml:space="preserve">   Könyvtár pályázatok (TIOP-1.2.3)</t>
  </si>
  <si>
    <t xml:space="preserve">      Központi támogatás</t>
  </si>
  <si>
    <t>Közös önkormányzati hivatalra átvett</t>
  </si>
  <si>
    <t>CSKTT működésére átvett</t>
  </si>
  <si>
    <t>Városi kitüntetések</t>
  </si>
  <si>
    <t>Bérleti díj - fénymásoló</t>
  </si>
  <si>
    <t>PPP konstrukcióhoz kapcs.szolgáltatsi díj</t>
  </si>
  <si>
    <t>Részmunkaidőben fogl.köztisztviselők rendszreres</t>
  </si>
  <si>
    <t>személyi juttatásai</t>
  </si>
  <si>
    <t>Köztisztviselők képzettség pótléka</t>
  </si>
  <si>
    <t>Köztisztviselők továbbtanulása, továbbképzése</t>
  </si>
  <si>
    <t xml:space="preserve"> Köztisztviselők temetési segélye</t>
  </si>
  <si>
    <t xml:space="preserve"> Nyugalmazott köztisztviselők temetési segélye</t>
  </si>
  <si>
    <t>Munkavégzéshez kapcsolódó juttatások összesen:</t>
  </si>
  <si>
    <t>Foglalkoztatottak sajátos juttatásai összesen:</t>
  </si>
  <si>
    <t>Szem.kapcs.költségtér. és hozzájár. Összesen:</t>
  </si>
  <si>
    <t>Működési célú pénzeszközátadás áht.-n kívülre</t>
  </si>
  <si>
    <t>Szociális jellegű juttatások összesen:</t>
  </si>
  <si>
    <t>Részmunkaidőben foglalkoztatottak juttatásai</t>
  </si>
  <si>
    <t>Külső személyi juttatások</t>
  </si>
  <si>
    <t>Összesen:</t>
  </si>
  <si>
    <t>Bodóné Gazda Edit</t>
  </si>
  <si>
    <t>Eötvös</t>
  </si>
  <si>
    <t>Füstös Sándorné</t>
  </si>
  <si>
    <t>Horváth Sándorné</t>
  </si>
  <si>
    <t>Kiss Lajos</t>
  </si>
  <si>
    <t>Németh Zoltánné</t>
  </si>
  <si>
    <t>Rádics Lászlóné</t>
  </si>
  <si>
    <t>Szőke Zsoltné</t>
  </si>
  <si>
    <t>Tóth Sándor</t>
  </si>
  <si>
    <t>Főkönyvi szám</t>
  </si>
  <si>
    <t>51-52</t>
  </si>
  <si>
    <t>SZEMÉLYI JUTTATÁSOK</t>
  </si>
  <si>
    <t>Teljes munkaidőben foglalkoztatottak személyi juttatásai</t>
  </si>
  <si>
    <t>Teljes munkaidőben foglalkoztatottak rendszeres személyi juttatásai</t>
  </si>
  <si>
    <t>Női Kézilabda Klub támogatása</t>
  </si>
  <si>
    <t>SZEMÉLYI JUTTATÁSOK ÖSSZESEN:</t>
  </si>
  <si>
    <t>MUNKAADÓKAT TERHELŐ JÁRULÉKOK</t>
  </si>
  <si>
    <t>Egészségügyi hozzájárulás</t>
  </si>
  <si>
    <t>DOLOGI KIADÁSOK</t>
  </si>
  <si>
    <t>eredeti</t>
  </si>
  <si>
    <t>Lakásgazdálkodás</t>
  </si>
  <si>
    <t>Gyámhivatal</t>
  </si>
  <si>
    <t>Átmeneti segély</t>
  </si>
  <si>
    <t>Temetési segély</t>
  </si>
  <si>
    <t>házasságkötések megbízási díjai</t>
  </si>
  <si>
    <t>Helyi önkormányzati képviselők juttatásai</t>
  </si>
  <si>
    <t>működés</t>
  </si>
  <si>
    <t>MŰKÖDÉSI CÉLÚ PÉNZESZKÖZ ÁTADÁS</t>
  </si>
  <si>
    <t>MŰKÖDÉSI CÉLÚ PÉNZESZKÖZ ÁTADÁS ÖSSZESEN:</t>
  </si>
  <si>
    <t>INTÉZMÉNYI MŰKÖDÉSI BEVÉTELEK</t>
  </si>
  <si>
    <t>…/2013. (…..) rendelet</t>
  </si>
  <si>
    <t>2013. évi előirányzatai</t>
  </si>
  <si>
    <t>Dr. Bojtor Éva</t>
  </si>
  <si>
    <t>Bakainé Haholka Krisztina</t>
  </si>
  <si>
    <t>Fülöpné Tóth Zsuzsanna</t>
  </si>
  <si>
    <t>Huszicsné Maronics Valéria</t>
  </si>
  <si>
    <t>Polaneczkiné Tavaszi Gyöngyi</t>
  </si>
  <si>
    <t>3060603 F/06</t>
  </si>
  <si>
    <t>3080203 H/02</t>
  </si>
  <si>
    <t>3061300 F/13</t>
  </si>
  <si>
    <t>3060903 F09</t>
  </si>
  <si>
    <t>869041- Védőnői szolgálat</t>
  </si>
  <si>
    <t>Bakainé</t>
  </si>
  <si>
    <t>Huszicsné</t>
  </si>
  <si>
    <t>Módosított előirányzat (2013. évi terv adatok)</t>
  </si>
  <si>
    <t>Módosított előirányzat</t>
  </si>
  <si>
    <t>Eredeti e.i</t>
  </si>
  <si>
    <t>Mód. E.i</t>
  </si>
  <si>
    <t>Mód. ei</t>
  </si>
  <si>
    <t>Mód e.i</t>
  </si>
  <si>
    <t>Eredeti e.i.</t>
  </si>
  <si>
    <t xml:space="preserve">   Nagyváthy konyha</t>
  </si>
  <si>
    <t>Nagyváthy konyha</t>
  </si>
  <si>
    <t xml:space="preserve">   Gróf Festetics György Öszöndíj</t>
  </si>
  <si>
    <t xml:space="preserve">    Jézus Szíve Plébániának nyújtott támogatás</t>
  </si>
  <si>
    <t xml:space="preserve">   2. Tanulmány a KEOP-2012-5.5.0 projekthez</t>
  </si>
  <si>
    <t>Pedagógiai szakszolgálat, tetőcsere</t>
  </si>
  <si>
    <t>Egészségügyi Szolgáltató Nonprofit Kft. fejleszási p.e átadás ügyeletre</t>
  </si>
  <si>
    <t>2.1. melléklet</t>
  </si>
  <si>
    <t>2.2 melléklet</t>
  </si>
  <si>
    <t>3.melléklet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</si>
</sst>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_-* #,##0.000\ _F_t_-;\-* #,##0.000\ _F_t_-;_-* &quot;-&quot;???\ _F_t_-;_-@_-"/>
    <numFmt numFmtId="174" formatCode="&quot;H-&quot;0000"/>
    <numFmt numFmtId="175" formatCode="#,##0_ ;\-#,##0\ "/>
    <numFmt numFmtId="176" formatCode="0.00000"/>
    <numFmt numFmtId="177" formatCode="[$-40E]yyyy\.\ mmmm\ d\."/>
    <numFmt numFmtId="178" formatCode="0.0000E+00"/>
    <numFmt numFmtId="179" formatCode="0.0000;[Red]0.0000"/>
    <numFmt numFmtId="180" formatCode="0.0%"/>
    <numFmt numFmtId="181" formatCode="0.000%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49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i/>
      <sz val="11"/>
      <name val="Times New Roman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i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13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3" fontId="3" fillId="3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2"/>
    </xf>
    <xf numFmtId="3" fontId="7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3" fontId="3" fillId="34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27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3" fontId="0" fillId="0" borderId="13" xfId="0" applyNumberForma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left" vertical="center" indent="1"/>
    </xf>
    <xf numFmtId="3" fontId="7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3" fontId="0" fillId="35" borderId="10" xfId="0" applyNumberFormat="1" applyFill="1" applyBorder="1" applyAlignment="1">
      <alignment vertical="center"/>
    </xf>
    <xf numFmtId="2" fontId="0" fillId="0" borderId="11" xfId="0" applyNumberFormat="1" applyBorder="1" applyAlignment="1">
      <alignment/>
    </xf>
    <xf numFmtId="3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0" fillId="0" borderId="15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vertical="center"/>
    </xf>
    <xf numFmtId="0" fontId="5" fillId="0" borderId="11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7" fillId="0" borderId="18" xfId="0" applyFont="1" applyBorder="1" applyAlignment="1" quotePrefix="1">
      <alignment horizontal="left" indent="1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4" xfId="0" applyFont="1" applyBorder="1" applyAlignment="1" quotePrefix="1">
      <alignment horizontal="left" indent="1"/>
    </xf>
    <xf numFmtId="3" fontId="7" fillId="0" borderId="14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left" indent="5"/>
    </xf>
    <xf numFmtId="0" fontId="26" fillId="0" borderId="10" xfId="0" applyFont="1" applyBorder="1" applyAlignment="1">
      <alignment horizontal="left" indent="1"/>
    </xf>
    <xf numFmtId="3" fontId="26" fillId="0" borderId="10" xfId="0" applyNumberFormat="1" applyFont="1" applyBorder="1" applyAlignment="1">
      <alignment horizontal="left" indent="3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 indent="3"/>
    </xf>
    <xf numFmtId="0" fontId="26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3" fontId="27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 inden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 indent="2"/>
    </xf>
    <xf numFmtId="3" fontId="25" fillId="0" borderId="10" xfId="0" applyNumberFormat="1" applyFont="1" applyBorder="1" applyAlignment="1">
      <alignment horizontal="left" indent="4"/>
    </xf>
    <xf numFmtId="0" fontId="5" fillId="0" borderId="10" xfId="0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indent="2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65" fillId="0" borderId="0" xfId="56">
      <alignment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0" xfId="56" applyFont="1" applyFill="1" applyBorder="1">
      <alignment/>
      <protection/>
    </xf>
    <xf numFmtId="0" fontId="30" fillId="0" borderId="0" xfId="56" applyFont="1">
      <alignment/>
      <protection/>
    </xf>
    <xf numFmtId="3" fontId="27" fillId="0" borderId="10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indent="1"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" fillId="34" borderId="0" xfId="0" applyFont="1" applyFill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7" fillId="0" borderId="18" xfId="0" applyNumberFormat="1" applyFont="1" applyFill="1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3" fontId="27" fillId="0" borderId="13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 indent="1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 indent="1"/>
    </xf>
    <xf numFmtId="0" fontId="27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3" fontId="7" fillId="0" borderId="1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3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12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0" fontId="12" fillId="37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0" fontId="12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35" borderId="0" xfId="0" applyNumberFormat="1" applyFont="1" applyFill="1" applyAlignment="1">
      <alignment/>
    </xf>
    <xf numFmtId="0" fontId="31" fillId="0" borderId="10" xfId="0" applyFont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6" applyNumberFormat="1" applyFont="1" applyFill="1" applyBorder="1" applyAlignment="1">
      <alignment horizontal="center"/>
      <protection/>
    </xf>
    <xf numFmtId="0" fontId="65" fillId="0" borderId="0" xfId="56" applyAlignment="1">
      <alignment horizontal="center"/>
      <protection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left" vertical="center"/>
    </xf>
    <xf numFmtId="3" fontId="3" fillId="40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3" fillId="33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left" indent="2"/>
    </xf>
    <xf numFmtId="3" fontId="12" fillId="0" borderId="16" xfId="0" applyNumberFormat="1" applyFont="1" applyBorder="1" applyAlignment="1">
      <alignment horizontal="left" indent="2"/>
    </xf>
    <xf numFmtId="3" fontId="12" fillId="0" borderId="16" xfId="0" applyNumberFormat="1" applyFont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5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" fontId="0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5" xfId="0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12" fillId="40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5" fillId="0" borderId="10" xfId="56" applyBorder="1">
      <alignment/>
      <protection/>
    </xf>
    <xf numFmtId="0" fontId="1" fillId="0" borderId="10" xfId="56" applyFont="1" applyBorder="1">
      <alignment/>
      <protection/>
    </xf>
    <xf numFmtId="0" fontId="38" fillId="0" borderId="10" xfId="56" applyFont="1" applyBorder="1">
      <alignment/>
      <protection/>
    </xf>
    <xf numFmtId="0" fontId="38" fillId="0" borderId="0" xfId="56" applyFont="1">
      <alignment/>
      <protection/>
    </xf>
    <xf numFmtId="0" fontId="65" fillId="0" borderId="0" xfId="56" applyAlignment="1">
      <alignment horizontal="right"/>
      <protection/>
    </xf>
    <xf numFmtId="3" fontId="0" fillId="0" borderId="10" xfId="56" applyNumberFormat="1" applyFont="1" applyFill="1" applyBorder="1" applyAlignment="1">
      <alignment/>
      <protection/>
    </xf>
    <xf numFmtId="3" fontId="5" fillId="0" borderId="10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/>
      <protection/>
    </xf>
    <xf numFmtId="0" fontId="5" fillId="0" borderId="10" xfId="56" applyFont="1" applyFill="1" applyBorder="1">
      <alignment/>
      <protection/>
    </xf>
    <xf numFmtId="3" fontId="31" fillId="0" borderId="10" xfId="0" applyNumberFormat="1" applyFont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3" fillId="41" borderId="10" xfId="0" applyFont="1" applyFill="1" applyBorder="1" applyAlignment="1">
      <alignment horizontal="left"/>
    </xf>
    <xf numFmtId="0" fontId="31" fillId="0" borderId="12" xfId="0" applyFont="1" applyBorder="1" applyAlignment="1">
      <alignment/>
    </xf>
    <xf numFmtId="0" fontId="3" fillId="40" borderId="19" xfId="0" applyFont="1" applyFill="1" applyBorder="1" applyAlignment="1">
      <alignment vertical="center"/>
    </xf>
    <xf numFmtId="49" fontId="0" fillId="0" borderId="10" xfId="56" applyNumberFormat="1" applyFont="1" applyFill="1" applyBorder="1" applyAlignment="1">
      <alignment horizontal="center"/>
      <protection/>
    </xf>
    <xf numFmtId="49" fontId="65" fillId="0" borderId="0" xfId="56" applyNumberFormat="1" applyAlignment="1">
      <alignment horizontal="center"/>
      <protection/>
    </xf>
    <xf numFmtId="0" fontId="39" fillId="0" borderId="10" xfId="56" applyFont="1" applyBorder="1">
      <alignment/>
      <protection/>
    </xf>
    <xf numFmtId="0" fontId="38" fillId="0" borderId="0" xfId="56" applyFont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40" fillId="0" borderId="10" xfId="56" applyFont="1" applyBorder="1">
      <alignment/>
      <protection/>
    </xf>
    <xf numFmtId="0" fontId="5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2" fillId="40" borderId="10" xfId="0" applyNumberFormat="1" applyFont="1" applyFill="1" applyBorder="1" applyAlignment="1">
      <alignment horizontal="left" vertical="center"/>
    </xf>
    <xf numFmtId="3" fontId="12" fillId="40" borderId="10" xfId="0" applyNumberFormat="1" applyFont="1" applyFill="1" applyBorder="1" applyAlignment="1">
      <alignment vertical="center"/>
    </xf>
    <xf numFmtId="3" fontId="12" fillId="40" borderId="1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5" fillId="0" borderId="30" xfId="0" applyFont="1" applyBorder="1" applyAlignment="1">
      <alignment/>
    </xf>
    <xf numFmtId="2" fontId="5" fillId="0" borderId="3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0" fillId="0" borderId="10" xfId="56" applyFont="1" applyBorder="1" applyAlignment="1">
      <alignment horizontal="center"/>
      <protection/>
    </xf>
    <xf numFmtId="49" fontId="40" fillId="0" borderId="10" xfId="56" applyNumberFormat="1" applyFont="1" applyBorder="1" applyAlignment="1">
      <alignment horizontal="center"/>
      <protection/>
    </xf>
    <xf numFmtId="3" fontId="5" fillId="0" borderId="10" xfId="56" applyNumberFormat="1" applyFont="1" applyFill="1" applyBorder="1" applyAlignment="1">
      <alignment horizontal="center"/>
      <protection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3" fontId="3" fillId="40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Border="1" applyAlignment="1">
      <alignment vertical="center"/>
    </xf>
    <xf numFmtId="0" fontId="38" fillId="35" borderId="10" xfId="56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65" fillId="43" borderId="0" xfId="56" applyFill="1">
      <alignment/>
      <protection/>
    </xf>
    <xf numFmtId="3" fontId="12" fillId="35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3" fillId="0" borderId="34" xfId="0" applyFont="1" applyBorder="1" applyAlignment="1">
      <alignment horizontal="right"/>
    </xf>
    <xf numFmtId="3" fontId="12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3" fontId="0" fillId="4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left" vertical="center"/>
    </xf>
    <xf numFmtId="3" fontId="0" fillId="4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3" fontId="0" fillId="4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2" fillId="4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19" xfId="56" applyNumberFormat="1" applyFont="1" applyFill="1" applyBorder="1" applyAlignment="1">
      <alignment/>
      <protection/>
    </xf>
    <xf numFmtId="3" fontId="5" fillId="0" borderId="11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/>
      <protection/>
    </xf>
    <xf numFmtId="2" fontId="0" fillId="0" borderId="11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3" fillId="0" borderId="2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3" fontId="10" fillId="33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3" fontId="12" fillId="38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7" fillId="40" borderId="1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180" wrapText="1"/>
    </xf>
    <xf numFmtId="0" fontId="31" fillId="0" borderId="10" xfId="0" applyFont="1" applyBorder="1" applyAlignment="1">
      <alignment horizontal="center" vertical="center" textRotation="180" wrapText="1"/>
    </xf>
    <xf numFmtId="0" fontId="29" fillId="0" borderId="10" xfId="0" applyFont="1" applyBorder="1" applyAlignment="1">
      <alignment horizontal="center" vertical="center" textRotation="180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0" fillId="0" borderId="37" xfId="0" applyBorder="1" applyAlignment="1">
      <alignment horizontal="left" vertical="center"/>
    </xf>
    <xf numFmtId="3" fontId="0" fillId="0" borderId="27" xfId="0" applyNumberFormat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horizontal="left" wrapText="1" indent="2"/>
    </xf>
    <xf numFmtId="0" fontId="0" fillId="0" borderId="43" xfId="0" applyFont="1" applyBorder="1" applyAlignment="1">
      <alignment horizontal="left" wrapText="1" indent="2"/>
    </xf>
    <xf numFmtId="0" fontId="5" fillId="0" borderId="4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3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vertical="center" wrapText="1" indent="2"/>
    </xf>
    <xf numFmtId="0" fontId="0" fillId="40" borderId="43" xfId="0" applyFont="1" applyFill="1" applyBorder="1" applyAlignment="1">
      <alignment vertical="center" wrapText="1"/>
    </xf>
    <xf numFmtId="0" fontId="0" fillId="40" borderId="35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35" borderId="0" xfId="0" applyFill="1" applyAlignment="1">
      <alignment/>
    </xf>
    <xf numFmtId="0" fontId="7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" wrapText="1"/>
    </xf>
    <xf numFmtId="0" fontId="7" fillId="40" borderId="10" xfId="0" applyFont="1" applyFill="1" applyBorder="1" applyAlignment="1">
      <alignment horizontal="left" indent="3"/>
    </xf>
    <xf numFmtId="3" fontId="7" fillId="40" borderId="10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13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2"/>
    </xf>
    <xf numFmtId="0" fontId="12" fillId="0" borderId="1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indent="4"/>
    </xf>
    <xf numFmtId="0" fontId="13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3" fontId="3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47" xfId="0" applyFont="1" applyBorder="1" applyAlignment="1">
      <alignment/>
    </xf>
    <xf numFmtId="0" fontId="13" fillId="0" borderId="48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1" fillId="0" borderId="10" xfId="56" applyFont="1" applyBorder="1">
      <alignment/>
      <protection/>
    </xf>
    <xf numFmtId="0" fontId="1" fillId="0" borderId="10" xfId="56" applyFont="1" applyFill="1" applyBorder="1">
      <alignment/>
      <protection/>
    </xf>
    <xf numFmtId="3" fontId="38" fillId="0" borderId="10" xfId="56" applyNumberFormat="1" applyFont="1" applyFill="1" applyBorder="1" applyAlignment="1">
      <alignment/>
      <protection/>
    </xf>
    <xf numFmtId="0" fontId="65" fillId="0" borderId="10" xfId="56" applyFill="1" applyBorder="1">
      <alignment/>
      <protection/>
    </xf>
    <xf numFmtId="0" fontId="1" fillId="0" borderId="0" xfId="56" applyFont="1">
      <alignment/>
      <protection/>
    </xf>
    <xf numFmtId="1" fontId="0" fillId="0" borderId="10" xfId="56" applyNumberFormat="1" applyFont="1" applyFill="1" applyBorder="1" applyAlignment="1">
      <alignment horizontal="center"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/>
      <protection/>
    </xf>
    <xf numFmtId="3" fontId="1" fillId="0" borderId="10" xfId="56" applyNumberFormat="1" applyFont="1" applyFill="1" applyBorder="1" applyAlignment="1">
      <alignment/>
      <protection/>
    </xf>
    <xf numFmtId="3" fontId="30" fillId="0" borderId="10" xfId="56" applyNumberFormat="1" applyFont="1" applyFill="1" applyBorder="1" applyAlignment="1">
      <alignment horizontal="center"/>
      <protection/>
    </xf>
    <xf numFmtId="3" fontId="30" fillId="0" borderId="10" xfId="56" applyNumberFormat="1" applyFont="1" applyFill="1" applyBorder="1" applyAlignment="1">
      <alignment/>
      <protection/>
    </xf>
    <xf numFmtId="3" fontId="5" fillId="0" borderId="19" xfId="56" applyNumberFormat="1" applyFont="1" applyFill="1" applyBorder="1" applyAlignment="1">
      <alignment/>
      <protection/>
    </xf>
    <xf numFmtId="3" fontId="1" fillId="0" borderId="19" xfId="56" applyNumberFormat="1" applyFont="1" applyFill="1" applyBorder="1" applyAlignment="1">
      <alignment/>
      <protection/>
    </xf>
    <xf numFmtId="3" fontId="30" fillId="0" borderId="19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0" fontId="65" fillId="0" borderId="0" xfId="56" applyFill="1">
      <alignment/>
      <protection/>
    </xf>
    <xf numFmtId="0" fontId="1" fillId="0" borderId="10" xfId="56" applyFont="1" applyFill="1" applyBorder="1">
      <alignment/>
      <protection/>
    </xf>
    <xf numFmtId="3" fontId="1" fillId="0" borderId="10" xfId="56" applyNumberFormat="1" applyFont="1" applyFill="1" applyBorder="1">
      <alignment/>
      <protection/>
    </xf>
    <xf numFmtId="0" fontId="1" fillId="0" borderId="10" xfId="56" applyFont="1" applyFill="1" applyBorder="1">
      <alignment/>
      <protection/>
    </xf>
    <xf numFmtId="3" fontId="0" fillId="0" borderId="0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38" fillId="0" borderId="10" xfId="56" applyFont="1" applyFill="1" applyBorder="1">
      <alignment/>
      <protection/>
    </xf>
    <xf numFmtId="0" fontId="65" fillId="0" borderId="10" xfId="56" applyFill="1" applyBorder="1" applyAlignment="1">
      <alignment horizontal="center"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65" fillId="0" borderId="10" xfId="56" applyNumberFormat="1" applyFill="1" applyBorder="1" applyAlignment="1">
      <alignment/>
      <protection/>
    </xf>
    <xf numFmtId="0" fontId="39" fillId="0" borderId="10" xfId="56" applyFont="1" applyFill="1" applyBorder="1">
      <alignment/>
      <protection/>
    </xf>
    <xf numFmtId="49" fontId="65" fillId="0" borderId="10" xfId="56" applyNumberFormat="1" applyFill="1" applyBorder="1" applyAlignment="1">
      <alignment horizontal="center"/>
      <protection/>
    </xf>
    <xf numFmtId="3" fontId="65" fillId="0" borderId="19" xfId="56" applyNumberFormat="1" applyFill="1" applyBorder="1" applyAlignment="1">
      <alignment/>
      <protection/>
    </xf>
    <xf numFmtId="1" fontId="3" fillId="0" borderId="0" xfId="0" applyNumberFormat="1" applyFont="1" applyAlignment="1">
      <alignment/>
    </xf>
    <xf numFmtId="1" fontId="12" fillId="37" borderId="0" xfId="0" applyNumberFormat="1" applyFont="1" applyFill="1" applyAlignment="1">
      <alignment/>
    </xf>
    <xf numFmtId="3" fontId="0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5" fillId="4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Border="1" applyAlignment="1" quotePrefix="1">
      <alignment horizontal="left" indent="1"/>
    </xf>
    <xf numFmtId="0" fontId="0" fillId="0" borderId="11" xfId="0" applyFont="1" applyBorder="1" applyAlignment="1">
      <alignment horizontal="left"/>
    </xf>
    <xf numFmtId="0" fontId="3" fillId="33" borderId="44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49" fontId="0" fillId="0" borderId="55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/>
    </xf>
    <xf numFmtId="3" fontId="11" fillId="0" borderId="55" xfId="0" applyNumberFormat="1" applyFont="1" applyBorder="1" applyAlignment="1">
      <alignment/>
    </xf>
    <xf numFmtId="49" fontId="0" fillId="0" borderId="5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NumberFormat="1" applyFont="1" applyBorder="1" applyAlignment="1">
      <alignment/>
    </xf>
    <xf numFmtId="0" fontId="11" fillId="0" borderId="52" xfId="0" applyFont="1" applyBorder="1" applyAlignment="1">
      <alignment/>
    </xf>
    <xf numFmtId="3" fontId="11" fillId="0" borderId="52" xfId="0" applyNumberFormat="1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11" fillId="0" borderId="53" xfId="0" applyFont="1" applyBorder="1" applyAlignment="1">
      <alignment/>
    </xf>
    <xf numFmtId="3" fontId="11" fillId="0" borderId="5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2" fillId="0" borderId="10" xfId="0" applyFont="1" applyBorder="1" applyAlignment="1">
      <alignment wrapText="1"/>
    </xf>
    <xf numFmtId="3" fontId="3" fillId="35" borderId="10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/>
    </xf>
    <xf numFmtId="3" fontId="33" fillId="35" borderId="10" xfId="0" applyNumberFormat="1" applyFont="1" applyFill="1" applyBorder="1" applyAlignment="1">
      <alignment horizontal="right" vertical="center"/>
    </xf>
    <xf numFmtId="3" fontId="5" fillId="40" borderId="10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3" fillId="40" borderId="0" xfId="0" applyNumberFormat="1" applyFont="1" applyFill="1" applyAlignment="1">
      <alignment horizontal="left"/>
    </xf>
    <xf numFmtId="3" fontId="3" fillId="40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0" fillId="44" borderId="0" xfId="0" applyFill="1" applyAlignment="1">
      <alignment/>
    </xf>
    <xf numFmtId="0" fontId="44" fillId="0" borderId="10" xfId="0" applyFont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3" fontId="5" fillId="0" borderId="16" xfId="0" applyNumberFormat="1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3" fontId="5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7" fillId="40" borderId="10" xfId="0" applyNumberFormat="1" applyFont="1" applyFill="1" applyBorder="1" applyAlignment="1" applyProtection="1">
      <alignment/>
      <protection locked="0"/>
    </xf>
    <xf numFmtId="3" fontId="3" fillId="40" borderId="10" xfId="0" applyNumberFormat="1" applyFont="1" applyFill="1" applyBorder="1" applyAlignment="1" applyProtection="1">
      <alignment/>
      <protection locked="0"/>
    </xf>
    <xf numFmtId="3" fontId="0" fillId="40" borderId="0" xfId="0" applyNumberFormat="1" applyFill="1" applyBorder="1" applyAlignment="1" applyProtection="1">
      <alignment/>
      <protection locked="0"/>
    </xf>
    <xf numFmtId="3" fontId="0" fillId="40" borderId="10" xfId="0" applyNumberFormat="1" applyFont="1" applyFill="1" applyBorder="1" applyAlignment="1" applyProtection="1">
      <alignment horizontal="right"/>
      <protection locked="0"/>
    </xf>
    <xf numFmtId="3" fontId="0" fillId="40" borderId="10" xfId="0" applyNumberFormat="1" applyFont="1" applyFill="1" applyBorder="1" applyAlignment="1" applyProtection="1">
      <alignment vertical="center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7" fillId="40" borderId="0" xfId="0" applyFont="1" applyFill="1" applyBorder="1" applyAlignment="1" applyProtection="1">
      <alignment horizontal="right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5" fillId="33" borderId="6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33" borderId="2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0" fontId="0" fillId="0" borderId="10" xfId="56" applyFont="1" applyFill="1" applyBorder="1" applyAlignment="1">
      <alignment horizontal="center"/>
      <protection/>
    </xf>
    <xf numFmtId="0" fontId="40" fillId="0" borderId="10" xfId="56" applyFont="1" applyFill="1" applyBorder="1">
      <alignment/>
      <protection/>
    </xf>
    <xf numFmtId="49" fontId="1" fillId="0" borderId="10" xfId="56" applyNumberFormat="1" applyFont="1" applyFill="1" applyBorder="1" applyAlignment="1">
      <alignment horizontal="center"/>
      <protection/>
    </xf>
    <xf numFmtId="3" fontId="1" fillId="0" borderId="10" xfId="56" applyNumberFormat="1" applyFont="1" applyFill="1" applyBorder="1">
      <alignment/>
      <protection/>
    </xf>
    <xf numFmtId="0" fontId="38" fillId="0" borderId="0" xfId="56" applyFont="1" applyFill="1">
      <alignment/>
      <protection/>
    </xf>
    <xf numFmtId="0" fontId="65" fillId="0" borderId="0" xfId="56" applyFill="1" applyAlignment="1">
      <alignment horizontal="center"/>
      <protection/>
    </xf>
    <xf numFmtId="49" fontId="65" fillId="0" borderId="0" xfId="56" applyNumberFormat="1" applyFill="1" applyAlignment="1">
      <alignment horizontal="center"/>
      <protection/>
    </xf>
    <xf numFmtId="0" fontId="65" fillId="0" borderId="0" xfId="56" applyFill="1" applyAlignment="1">
      <alignment horizontal="right"/>
      <protection/>
    </xf>
    <xf numFmtId="0" fontId="38" fillId="0" borderId="0" xfId="56" applyFont="1" applyFill="1" applyAlignment="1">
      <alignment horizontal="center"/>
      <protection/>
    </xf>
    <xf numFmtId="0" fontId="1" fillId="0" borderId="0" xfId="56" applyFont="1" applyFill="1" applyAlignment="1">
      <alignment horizontal="right"/>
      <protection/>
    </xf>
    <xf numFmtId="3" fontId="65" fillId="0" borderId="0" xfId="56" applyNumberFormat="1" applyFill="1" applyAlignment="1">
      <alignment horizontal="center"/>
      <protection/>
    </xf>
    <xf numFmtId="3" fontId="65" fillId="0" borderId="0" xfId="56" applyNumberFormat="1" applyFill="1">
      <alignment/>
      <protection/>
    </xf>
    <xf numFmtId="3" fontId="5" fillId="0" borderId="19" xfId="56" applyNumberFormat="1" applyFont="1" applyFill="1" applyBorder="1" applyAlignment="1">
      <alignment horizontal="center"/>
      <protection/>
    </xf>
    <xf numFmtId="49" fontId="38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Fill="1" applyBorder="1" applyAlignment="1">
      <alignment horizontal="right"/>
      <protection/>
    </xf>
    <xf numFmtId="0" fontId="38" fillId="0" borderId="10" xfId="56" applyNumberFormat="1" applyFont="1" applyFill="1" applyBorder="1" applyAlignment="1">
      <alignment horizontal="center"/>
      <protection/>
    </xf>
    <xf numFmtId="3" fontId="5" fillId="0" borderId="62" xfId="56" applyNumberFormat="1" applyFont="1" applyFill="1" applyBorder="1" applyAlignment="1">
      <alignment horizontal="right"/>
      <protection/>
    </xf>
    <xf numFmtId="0" fontId="1" fillId="0" borderId="10" xfId="56" applyFont="1" applyFill="1" applyBorder="1">
      <alignment/>
      <protection/>
    </xf>
    <xf numFmtId="3" fontId="1" fillId="35" borderId="10" xfId="56" applyNumberFormat="1" applyFont="1" applyFill="1" applyBorder="1">
      <alignment/>
      <protection/>
    </xf>
    <xf numFmtId="0" fontId="1" fillId="35" borderId="10" xfId="56" applyFont="1" applyFill="1" applyBorder="1">
      <alignment/>
      <protection/>
    </xf>
    <xf numFmtId="0" fontId="1" fillId="35" borderId="10" xfId="56" applyFont="1" applyFill="1" applyBorder="1">
      <alignment/>
      <protection/>
    </xf>
    <xf numFmtId="3" fontId="11" fillId="0" borderId="31" xfId="0" applyNumberFormat="1" applyFont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3" fontId="12" fillId="44" borderId="10" xfId="0" applyNumberFormat="1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/>
      <protection/>
    </xf>
    <xf numFmtId="0" fontId="0" fillId="0" borderId="62" xfId="56" applyFont="1" applyFill="1" applyBorder="1">
      <alignment/>
      <protection/>
    </xf>
    <xf numFmtId="3" fontId="0" fillId="0" borderId="62" xfId="56" applyNumberFormat="1" applyFont="1" applyFill="1" applyBorder="1" applyAlignment="1">
      <alignment horizontal="center"/>
      <protection/>
    </xf>
    <xf numFmtId="0" fontId="0" fillId="0" borderId="62" xfId="56" applyNumberFormat="1" applyFont="1" applyFill="1" applyBorder="1" applyAlignment="1">
      <alignment horizontal="center"/>
      <protection/>
    </xf>
    <xf numFmtId="3" fontId="0" fillId="0" borderId="62" xfId="56" applyNumberFormat="1" applyFont="1" applyFill="1" applyBorder="1" applyAlignment="1">
      <alignment/>
      <protection/>
    </xf>
    <xf numFmtId="3" fontId="5" fillId="0" borderId="62" xfId="56" applyNumberFormat="1" applyFont="1" applyFill="1" applyBorder="1" applyAlignment="1">
      <alignment/>
      <protection/>
    </xf>
    <xf numFmtId="0" fontId="65" fillId="0" borderId="62" xfId="56" applyFill="1" applyBorder="1">
      <alignment/>
      <protection/>
    </xf>
    <xf numFmtId="0" fontId="1" fillId="0" borderId="62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0" fillId="0" borderId="0" xfId="56" applyNumberFormat="1" applyFont="1" applyFill="1" applyBorder="1" applyAlignment="1">
      <alignment horizontal="center"/>
      <protection/>
    </xf>
    <xf numFmtId="3" fontId="1" fillId="0" borderId="0" xfId="56" applyNumberFormat="1" applyFont="1" applyFill="1" applyBorder="1" applyAlignment="1">
      <alignment/>
      <protection/>
    </xf>
    <xf numFmtId="3" fontId="5" fillId="0" borderId="0" xfId="56" applyNumberFormat="1" applyFont="1" applyFill="1" applyBorder="1" applyAlignment="1">
      <alignment/>
      <protection/>
    </xf>
    <xf numFmtId="3" fontId="5" fillId="0" borderId="0" xfId="56" applyNumberFormat="1" applyFont="1" applyFill="1" applyBorder="1" applyAlignment="1">
      <alignment horizontal="right"/>
      <protection/>
    </xf>
    <xf numFmtId="0" fontId="65" fillId="0" borderId="0" xfId="56" applyFill="1" applyBorder="1">
      <alignment/>
      <protection/>
    </xf>
    <xf numFmtId="0" fontId="1" fillId="0" borderId="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3" fillId="0" borderId="16" xfId="0" applyFont="1" applyBorder="1" applyAlignment="1">
      <alignment vertical="center"/>
    </xf>
    <xf numFmtId="0" fontId="0" fillId="35" borderId="10" xfId="56" applyFont="1" applyFill="1" applyBorder="1">
      <alignment/>
      <protection/>
    </xf>
    <xf numFmtId="3" fontId="5" fillId="33" borderId="1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29" fillId="33" borderId="41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/>
    </xf>
    <xf numFmtId="3" fontId="0" fillId="4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3" fillId="4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6" fillId="45" borderId="10" xfId="0" applyFont="1" applyFill="1" applyBorder="1" applyAlignment="1">
      <alignment horizontal="left"/>
    </xf>
    <xf numFmtId="0" fontId="6" fillId="45" borderId="10" xfId="0" applyFont="1" applyFill="1" applyBorder="1" applyAlignment="1">
      <alignment horizontal="left" wrapText="1"/>
    </xf>
    <xf numFmtId="0" fontId="6" fillId="45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right"/>
    </xf>
    <xf numFmtId="3" fontId="6" fillId="45" borderId="10" xfId="0" applyNumberFormat="1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3" fontId="6" fillId="45" borderId="10" xfId="0" applyNumberFormat="1" applyFont="1" applyFill="1" applyBorder="1" applyAlignment="1">
      <alignment horizontal="right"/>
    </xf>
    <xf numFmtId="3" fontId="12" fillId="45" borderId="10" xfId="0" applyNumberFormat="1" applyFont="1" applyFill="1" applyBorder="1" applyAlignment="1">
      <alignment/>
    </xf>
    <xf numFmtId="3" fontId="3" fillId="45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3" fillId="45" borderId="10" xfId="0" applyNumberFormat="1" applyFont="1" applyFill="1" applyBorder="1" applyAlignment="1">
      <alignment/>
    </xf>
    <xf numFmtId="0" fontId="3" fillId="33" borderId="62" xfId="0" applyFon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0" fontId="45" fillId="0" borderId="36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6" fontId="45" fillId="0" borderId="64" xfId="0" applyNumberFormat="1" applyFont="1" applyBorder="1" applyAlignment="1">
      <alignment horizontal="right"/>
    </xf>
    <xf numFmtId="0" fontId="46" fillId="0" borderId="63" xfId="0" applyFont="1" applyBorder="1" applyAlignment="1">
      <alignment/>
    </xf>
    <xf numFmtId="0" fontId="46" fillId="0" borderId="64" xfId="0" applyFont="1" applyBorder="1" applyAlignment="1">
      <alignment/>
    </xf>
    <xf numFmtId="0" fontId="45" fillId="0" borderId="64" xfId="0" applyFont="1" applyBorder="1" applyAlignment="1">
      <alignment horizontal="right"/>
    </xf>
    <xf numFmtId="6" fontId="46" fillId="0" borderId="64" xfId="0" applyNumberFormat="1" applyFont="1" applyBorder="1" applyAlignment="1">
      <alignment horizontal="right"/>
    </xf>
    <xf numFmtId="6" fontId="47" fillId="0" borderId="64" xfId="0" applyNumberFormat="1" applyFont="1" applyBorder="1" applyAlignment="1">
      <alignment horizontal="right"/>
    </xf>
    <xf numFmtId="0" fontId="5" fillId="0" borderId="15" xfId="0" applyFont="1" applyFill="1" applyBorder="1" applyAlignment="1">
      <alignment vertical="center"/>
    </xf>
    <xf numFmtId="0" fontId="1" fillId="0" borderId="0" xfId="56" applyFont="1">
      <alignment/>
      <protection/>
    </xf>
    <xf numFmtId="0" fontId="1" fillId="35" borderId="10" xfId="56" applyFont="1" applyFill="1" applyBorder="1">
      <alignment/>
      <protection/>
    </xf>
    <xf numFmtId="3" fontId="5" fillId="0" borderId="46" xfId="56" applyNumberFormat="1" applyFont="1" applyFill="1" applyBorder="1" applyAlignment="1">
      <alignment/>
      <protection/>
    </xf>
    <xf numFmtId="0" fontId="1" fillId="0" borderId="10" xfId="56" applyFont="1" applyFill="1" applyBorder="1">
      <alignment/>
      <protection/>
    </xf>
    <xf numFmtId="3" fontId="1" fillId="35" borderId="10" xfId="56" applyNumberFormat="1" applyFont="1" applyFill="1" applyBorder="1">
      <alignment/>
      <protection/>
    </xf>
    <xf numFmtId="3" fontId="5" fillId="0" borderId="27" xfId="56" applyNumberFormat="1" applyFont="1" applyFill="1" applyBorder="1" applyAlignment="1">
      <alignment horizontal="center"/>
      <protection/>
    </xf>
    <xf numFmtId="0" fontId="3" fillId="40" borderId="24" xfId="0" applyFont="1" applyFill="1" applyBorder="1" applyAlignment="1">
      <alignment horizontal="left"/>
    </xf>
    <xf numFmtId="3" fontId="3" fillId="40" borderId="24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3" fontId="0" fillId="0" borderId="16" xfId="0" applyNumberFormat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12" fillId="0" borderId="62" xfId="0" applyFont="1" applyBorder="1" applyAlignment="1">
      <alignment/>
    </xf>
    <xf numFmtId="0" fontId="3" fillId="0" borderId="62" xfId="0" applyFont="1" applyBorder="1" applyAlignment="1">
      <alignment/>
    </xf>
    <xf numFmtId="3" fontId="12" fillId="0" borderId="62" xfId="0" applyNumberFormat="1" applyFont="1" applyBorder="1" applyAlignment="1">
      <alignment horizontal="right"/>
    </xf>
    <xf numFmtId="3" fontId="12" fillId="0" borderId="62" xfId="0" applyNumberFormat="1" applyFont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1" fillId="0" borderId="10" xfId="56" applyFont="1" applyFill="1" applyBorder="1">
      <alignment/>
      <protection/>
    </xf>
    <xf numFmtId="3" fontId="12" fillId="44" borderId="16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44" borderId="10" xfId="0" applyFont="1" applyFill="1" applyBorder="1" applyAlignment="1">
      <alignment horizontal="left" vertical="center"/>
    </xf>
    <xf numFmtId="3" fontId="0" fillId="46" borderId="10" xfId="0" applyNumberFormat="1" applyFont="1" applyFill="1" applyBorder="1" applyAlignment="1">
      <alignment vertical="center"/>
    </xf>
    <xf numFmtId="0" fontId="0" fillId="35" borderId="10" xfId="56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3" fontId="0" fillId="47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0" fillId="0" borderId="16" xfId="0" applyFont="1" applyBorder="1" applyAlignment="1">
      <alignment/>
    </xf>
    <xf numFmtId="3" fontId="0" fillId="46" borderId="10" xfId="0" applyNumberFormat="1" applyFont="1" applyFill="1" applyBorder="1" applyAlignment="1">
      <alignment horizontal="right" vertical="center"/>
    </xf>
    <xf numFmtId="0" fontId="27" fillId="0" borderId="17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46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6" fillId="0" borderId="46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1" fontId="0" fillId="0" borderId="39" xfId="0" applyNumberFormat="1" applyFont="1" applyBorder="1" applyAlignment="1">
      <alignment vertical="center"/>
    </xf>
    <xf numFmtId="10" fontId="0" fillId="0" borderId="0" xfId="63" applyNumberFormat="1" applyFont="1" applyAlignment="1">
      <alignment/>
    </xf>
    <xf numFmtId="4" fontId="5" fillId="0" borderId="16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wrapText="1"/>
    </xf>
    <xf numFmtId="4" fontId="0" fillId="0" borderId="16" xfId="0" applyNumberForma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25" fillId="0" borderId="19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34" xfId="0" applyFont="1" applyBorder="1" applyAlignment="1">
      <alignment wrapText="1"/>
    </xf>
    <xf numFmtId="0" fontId="26" fillId="0" borderId="0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25" fillId="0" borderId="34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6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65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 wrapText="1"/>
    </xf>
    <xf numFmtId="3" fontId="17" fillId="0" borderId="18" xfId="0" applyNumberFormat="1" applyFont="1" applyBorder="1" applyAlignment="1">
      <alignment horizontal="left" vertical="center"/>
    </xf>
    <xf numFmtId="3" fontId="17" fillId="0" borderId="62" xfId="0" applyNumberFormat="1" applyFont="1" applyBorder="1" applyAlignment="1">
      <alignment horizontal="left" vertical="center"/>
    </xf>
    <xf numFmtId="3" fontId="17" fillId="0" borderId="65" xfId="0" applyNumberFormat="1" applyFont="1" applyBorder="1" applyAlignment="1">
      <alignment horizontal="left" vertical="center"/>
    </xf>
    <xf numFmtId="3" fontId="17" fillId="0" borderId="14" xfId="0" applyNumberFormat="1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left" vertical="center"/>
    </xf>
    <xf numFmtId="3" fontId="17" fillId="0" borderId="33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0" fillId="0" borderId="18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1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31" fillId="0" borderId="19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15" xfId="0" applyFont="1" applyBorder="1" applyAlignment="1">
      <alignment horizontal="center" vertical="center" textRotation="180"/>
    </xf>
    <xf numFmtId="0" fontId="31" fillId="0" borderId="46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1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73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3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3" fontId="12" fillId="35" borderId="0" xfId="0" applyNumberFormat="1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8" fillId="48" borderId="0" xfId="0" applyFont="1" applyFill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33" borderId="74" xfId="0" applyFont="1" applyFill="1" applyBorder="1" applyAlignment="1">
      <alignment horizontal="left"/>
    </xf>
    <xf numFmtId="0" fontId="5" fillId="33" borderId="67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13" fillId="0" borderId="48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left"/>
    </xf>
    <xf numFmtId="3" fontId="3" fillId="33" borderId="19" xfId="0" applyNumberFormat="1" applyFont="1" applyFill="1" applyBorder="1" applyAlignment="1">
      <alignment horizontal="left"/>
    </xf>
    <xf numFmtId="3" fontId="3" fillId="33" borderId="46" xfId="0" applyNumberFormat="1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3" borderId="30" xfId="0" applyFont="1" applyFill="1" applyBorder="1" applyAlignment="1">
      <alignment horizontal="left"/>
    </xf>
    <xf numFmtId="0" fontId="10" fillId="33" borderId="31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3" fillId="34" borderId="30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" fillId="33" borderId="44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6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externalLink" Target="externalLinks/externalLink1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seneia\Local%20Settings\Temporary%20Internet%20Files\Content.Outlook\J0TIHMH2\K&#246;lts&#233;gvet&#233;s%202013%20&#246;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m"/>
      <sheetName val="1am"/>
      <sheetName val="1bm"/>
      <sheetName val="2m"/>
      <sheetName val="2am"/>
      <sheetName val="2bm"/>
      <sheetName val="3am"/>
      <sheetName val="3bm"/>
      <sheetName val="4m"/>
      <sheetName val="4am"/>
      <sheetName val="4bm"/>
      <sheetName val="5m"/>
      <sheetName val="6m"/>
      <sheetName val="7m"/>
      <sheetName val="8m"/>
      <sheetName val="9m"/>
      <sheetName val="10m"/>
      <sheetName val="11m"/>
      <sheetName val="12m"/>
      <sheetName val="13m"/>
      <sheetName val="14m"/>
      <sheetName val="19m"/>
      <sheetName val="16m"/>
      <sheetName val="hitelkorlát"/>
      <sheetName val="Polg. Hiv"/>
      <sheetName val="841126-PHiv"/>
      <sheetName val="Bérek2013"/>
      <sheetName val="841125-115-Elsőfokú ép. hatóság"/>
      <sheetName val="841133-adó beszedése"/>
      <sheetName val="841112-117-Képviselőtestület"/>
      <sheetName val="841126-166-Többc.munk.sz."/>
      <sheetName val="Bérek önk."/>
      <sheetName val="862101-Háziorvosi alapellátás"/>
      <sheetName val="869041-Védőnő1"/>
      <sheetName val="869042-Védőnő2"/>
      <sheetName val="Önk."/>
      <sheetName val="841126-116-Önk. igazgatás"/>
      <sheetName val="890441-Közcélú 2012"/>
      <sheetName val="680001-Lakásgazd. "/>
      <sheetName val="841403- Városgazdálkodás"/>
      <sheetName val="841402-Közvilágítás"/>
      <sheetName val="Fejlesztési kiadások"/>
      <sheetName val="Fejlesztési bevételek"/>
      <sheetName val="Szennyvíztársulás"/>
      <sheetName val="682002-Nem lakóingatlanok"/>
      <sheetName val="841126-Finanszírozási műveletek"/>
      <sheetName val="Bérek kulcsszám sz."/>
      <sheetName val="841127-118-Kisebbségi önk."/>
      <sheetName val="842531-Polgári védelem"/>
      <sheetName val="931102-172-Sportcsarnok"/>
      <sheetName val="602000-CSTV"/>
      <sheetName val="901501-Közösségi ház "/>
      <sheetName val="882129-Öregek ebédje"/>
      <sheetName val="-Rendsz.szoc.pénz.ell."/>
      <sheetName val="882117-Rendsz.gyv.pénz.ell."/>
      <sheetName val="882119 - Óvodáztatási támogatás"/>
      <sheetName val="882111-Munkanélküli ellátások"/>
      <sheetName val="-Eseti pénz.szoc.ell."/>
      <sheetName val="882124-Eseti pénz.gyv.ell"/>
      <sheetName val="rehabilitációs hj "/>
      <sheetName val="bejáró 2012"/>
      <sheetName val="Körjegyzőség 2013"/>
      <sheetName val="pénzmaradvány"/>
      <sheetName val="Könyvtár"/>
      <sheetName val="Mozgókönyvtár elemi"/>
      <sheetName val="Múzeum"/>
      <sheetName val="Bérek könyvtár"/>
      <sheetName val="Elemi"/>
      <sheetName val="Városgazd"/>
      <sheetName val="841901-Önk saját bevételei"/>
    </sheetNames>
    <sheetDataSet>
      <sheetData sheetId="3">
        <row r="45">
          <cell r="B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64"/>
  <sheetViews>
    <sheetView view="pageBreakPreview" zoomScaleSheetLayoutView="100" zoomScalePageLayoutView="0" workbookViewId="0" topLeftCell="A37">
      <selection activeCell="C10" sqref="C10"/>
    </sheetView>
  </sheetViews>
  <sheetFormatPr defaultColWidth="9.140625" defaultRowHeight="12.75"/>
  <cols>
    <col min="1" max="1" width="83.57421875" style="0" customWidth="1"/>
    <col min="2" max="5" width="14.140625" style="0" customWidth="1"/>
    <col min="6" max="6" width="11.421875" style="0" bestFit="1" customWidth="1"/>
    <col min="7" max="7" width="10.28125" style="0" bestFit="1" customWidth="1"/>
  </cols>
  <sheetData>
    <row r="1" spans="1:6" ht="12.75">
      <c r="A1" s="833"/>
      <c r="B1" s="1122"/>
      <c r="C1" s="1122"/>
      <c r="D1" s="903"/>
      <c r="E1" s="902" t="s">
        <v>1172</v>
      </c>
      <c r="F1" s="908"/>
    </row>
    <row r="2" spans="1:5" ht="12.75">
      <c r="A2" s="833"/>
      <c r="B2" s="833"/>
      <c r="C2" s="833"/>
      <c r="D2" s="904"/>
      <c r="E2" s="904"/>
    </row>
    <row r="3" spans="1:5" ht="12.75">
      <c r="A3" s="1125" t="s">
        <v>868</v>
      </c>
      <c r="B3" s="1125"/>
      <c r="C3" s="1125"/>
      <c r="D3" s="1125"/>
      <c r="E3" s="1125"/>
    </row>
    <row r="4" spans="1:5" ht="12.75">
      <c r="A4" s="833"/>
      <c r="B4" s="833"/>
      <c r="C4" s="833"/>
      <c r="D4" s="904"/>
      <c r="E4" s="904"/>
    </row>
    <row r="5" spans="1:5" ht="40.5" customHeight="1">
      <c r="A5" s="1124" t="s">
        <v>867</v>
      </c>
      <c r="B5" s="1124"/>
      <c r="C5" s="1124"/>
      <c r="D5" s="1124"/>
      <c r="E5" s="1124"/>
    </row>
    <row r="6" spans="1:5" ht="12.75">
      <c r="A6" s="833"/>
      <c r="B6" s="833"/>
      <c r="C6" s="833"/>
      <c r="D6" s="904"/>
      <c r="E6" s="904"/>
    </row>
    <row r="7" spans="1:5" ht="12.75">
      <c r="A7" s="905"/>
      <c r="B7" s="902"/>
      <c r="C7" s="833"/>
      <c r="D7" s="906"/>
      <c r="E7" s="902" t="s">
        <v>161</v>
      </c>
    </row>
    <row r="8" spans="1:5" ht="51">
      <c r="A8" s="53" t="s">
        <v>1037</v>
      </c>
      <c r="B8" s="17" t="s">
        <v>1335</v>
      </c>
      <c r="C8" s="17" t="s">
        <v>1532</v>
      </c>
      <c r="D8" s="907" t="s">
        <v>1336</v>
      </c>
      <c r="E8" s="907" t="s">
        <v>1337</v>
      </c>
    </row>
    <row r="9" spans="1:5" ht="12.75">
      <c r="A9" s="46" t="s">
        <v>517</v>
      </c>
      <c r="B9" s="49">
        <f>+B10+B11+B12+B13+B14-1</f>
        <v>937399.5519999999</v>
      </c>
      <c r="C9" s="49">
        <f>+C10+C11+C12+C13+C14-1</f>
        <v>947273.5519999999</v>
      </c>
      <c r="D9" s="893">
        <f>SUM(D10:D14)</f>
        <v>1361584</v>
      </c>
      <c r="E9" s="893">
        <f>SUM(E10:E14)</f>
        <v>1338761</v>
      </c>
    </row>
    <row r="10" spans="1:5" ht="12.75">
      <c r="A10" s="275" t="s">
        <v>518</v>
      </c>
      <c r="B10" s="18">
        <f>+2bm!B20</f>
        <v>357500</v>
      </c>
      <c r="C10" s="18">
        <f>+2bm!C20</f>
        <v>362106</v>
      </c>
      <c r="D10" s="894">
        <v>527066</v>
      </c>
      <c r="E10" s="894">
        <v>591003</v>
      </c>
    </row>
    <row r="11" spans="1:5" ht="12.75">
      <c r="A11" s="275" t="s">
        <v>519</v>
      </c>
      <c r="B11" s="18">
        <f>+2bm!D20</f>
        <v>78876.09</v>
      </c>
      <c r="C11" s="18">
        <f>+2bm!E20</f>
        <v>80108.09</v>
      </c>
      <c r="D11" s="894">
        <v>129385</v>
      </c>
      <c r="E11" s="894">
        <v>155111</v>
      </c>
    </row>
    <row r="12" spans="1:5" ht="12.75">
      <c r="A12" s="275" t="s">
        <v>521</v>
      </c>
      <c r="B12" s="18">
        <f>+2bm!F20</f>
        <v>276729.462</v>
      </c>
      <c r="C12" s="18">
        <f>+2bm!G20</f>
        <v>291377.462</v>
      </c>
      <c r="D12" s="894">
        <v>395286</v>
      </c>
      <c r="E12" s="894">
        <v>370691</v>
      </c>
    </row>
    <row r="13" spans="1:5" ht="12.75">
      <c r="A13" s="275" t="s">
        <v>520</v>
      </c>
      <c r="B13" s="18">
        <f>+2bm!H20</f>
        <v>122342</v>
      </c>
      <c r="C13" s="18">
        <f>+2bm!I20</f>
        <v>122342</v>
      </c>
      <c r="D13" s="894">
        <v>201360</v>
      </c>
      <c r="E13" s="894">
        <v>141149</v>
      </c>
    </row>
    <row r="14" spans="1:5" ht="12.75">
      <c r="A14" s="275" t="s">
        <v>522</v>
      </c>
      <c r="B14" s="18">
        <f>SUM(B15:B18)</f>
        <v>101953</v>
      </c>
      <c r="C14" s="18">
        <f>SUM(C15:C18)</f>
        <v>91341</v>
      </c>
      <c r="D14" s="894">
        <v>108487</v>
      </c>
      <c r="E14" s="894">
        <v>80807</v>
      </c>
    </row>
    <row r="15" spans="1:5" ht="12.75">
      <c r="A15" s="313" t="s">
        <v>523</v>
      </c>
      <c r="B15" s="18">
        <f>SUM(2bm!J20)</f>
        <v>12342</v>
      </c>
      <c r="C15" s="18">
        <f>SUM(2bm!K20)</f>
        <v>8402</v>
      </c>
      <c r="D15" s="894">
        <v>50672</v>
      </c>
      <c r="E15" s="894">
        <v>21069</v>
      </c>
    </row>
    <row r="16" spans="1:5" ht="12.75">
      <c r="A16" s="313" t="s">
        <v>524</v>
      </c>
      <c r="B16" s="18">
        <f>SUM(2bm!L20)</f>
        <v>89611</v>
      </c>
      <c r="C16" s="18">
        <f>SUM(2bm!M20)</f>
        <v>82939</v>
      </c>
      <c r="D16" s="894">
        <v>57815</v>
      </c>
      <c r="E16" s="894">
        <v>59738</v>
      </c>
    </row>
    <row r="17" spans="1:5" ht="12.75">
      <c r="A17" s="313" t="s">
        <v>525</v>
      </c>
      <c r="B17" s="18">
        <v>0</v>
      </c>
      <c r="C17" s="18">
        <v>0</v>
      </c>
      <c r="D17" s="894">
        <v>0</v>
      </c>
      <c r="E17" s="894">
        <v>0</v>
      </c>
    </row>
    <row r="18" spans="1:5" ht="12.75">
      <c r="A18" s="313" t="s">
        <v>526</v>
      </c>
      <c r="B18" s="18">
        <v>0</v>
      </c>
      <c r="C18" s="18">
        <v>0</v>
      </c>
      <c r="D18" s="894">
        <v>0</v>
      </c>
      <c r="E18" s="894">
        <v>0</v>
      </c>
    </row>
    <row r="19" spans="1:5" ht="12.75">
      <c r="A19" s="330" t="s">
        <v>542</v>
      </c>
      <c r="B19" s="49">
        <f>+B20+B21+B22</f>
        <v>803617.7142677165</v>
      </c>
      <c r="C19" s="49">
        <f>+C20+C21+C22</f>
        <v>809998.7142677165</v>
      </c>
      <c r="D19" s="893">
        <f>SUM(D20:D22)-1</f>
        <v>1100375</v>
      </c>
      <c r="E19" s="893">
        <f>SUM(E20:E22)</f>
        <v>130529</v>
      </c>
    </row>
    <row r="20" spans="1:5" ht="12.75">
      <c r="A20" s="756" t="s">
        <v>543</v>
      </c>
      <c r="B20" s="7">
        <f>+4bm!F8</f>
        <v>753336</v>
      </c>
      <c r="C20" s="7">
        <f>+4bm!G8</f>
        <v>756638</v>
      </c>
      <c r="D20" s="895">
        <v>224350</v>
      </c>
      <c r="E20" s="895">
        <v>118344</v>
      </c>
    </row>
    <row r="21" spans="1:5" ht="12.75">
      <c r="A21" s="756" t="s">
        <v>544</v>
      </c>
      <c r="B21" s="7">
        <f>+4bm!F24</f>
        <v>5080</v>
      </c>
      <c r="C21" s="7">
        <f>+4bm!G24</f>
        <v>7121</v>
      </c>
      <c r="D21" s="895">
        <v>795539</v>
      </c>
      <c r="E21" s="895">
        <v>5840</v>
      </c>
    </row>
    <row r="22" spans="1:5" ht="12.75">
      <c r="A22" s="756" t="s">
        <v>249</v>
      </c>
      <c r="B22" s="7">
        <f>SUM(B23:B30)</f>
        <v>45201.71426771654</v>
      </c>
      <c r="C22" s="7">
        <f>SUM(C23:C30)</f>
        <v>46239.71426771654</v>
      </c>
      <c r="D22" s="895">
        <v>80487</v>
      </c>
      <c r="E22" s="895">
        <v>6345</v>
      </c>
    </row>
    <row r="23" spans="1:5" ht="12.75">
      <c r="A23" s="767" t="s">
        <v>250</v>
      </c>
      <c r="B23" s="7">
        <f>+4bm!F30</f>
        <v>0</v>
      </c>
      <c r="C23" s="7">
        <f>+4bm!G30</f>
        <v>750</v>
      </c>
      <c r="D23" s="895">
        <v>0</v>
      </c>
      <c r="E23" s="895">
        <v>0</v>
      </c>
    </row>
    <row r="24" spans="1:5" ht="12.75">
      <c r="A24" s="767" t="s">
        <v>251</v>
      </c>
      <c r="B24" s="7">
        <f>+4bm!F32</f>
        <v>1582</v>
      </c>
      <c r="C24" s="7">
        <f>+4bm!G32</f>
        <v>1870</v>
      </c>
      <c r="D24" s="895">
        <v>1582</v>
      </c>
      <c r="E24" s="895">
        <v>6345</v>
      </c>
    </row>
    <row r="25" spans="1:5" ht="12.75">
      <c r="A25" s="767" t="s">
        <v>252</v>
      </c>
      <c r="B25" s="7">
        <f>+4bm!F36</f>
        <v>0</v>
      </c>
      <c r="C25" s="7">
        <f>+4bm!G36</f>
        <v>0</v>
      </c>
      <c r="D25" s="895">
        <v>0</v>
      </c>
      <c r="E25" s="895">
        <v>0</v>
      </c>
    </row>
    <row r="26" spans="1:5" ht="12.75">
      <c r="A26" s="767" t="s">
        <v>696</v>
      </c>
      <c r="B26" s="7">
        <f>SUM(4bm!F37)</f>
        <v>6425.714267716536</v>
      </c>
      <c r="C26" s="7">
        <f>SUM(4bm!G37)</f>
        <v>6425.714267716536</v>
      </c>
      <c r="D26" s="895">
        <v>21761</v>
      </c>
      <c r="E26" s="895">
        <v>0</v>
      </c>
    </row>
    <row r="27" spans="1:5" ht="12.75">
      <c r="A27" s="767" t="s">
        <v>697</v>
      </c>
      <c r="B27" s="7">
        <f>SUM(4bm!F39)</f>
        <v>5500</v>
      </c>
      <c r="C27" s="7">
        <f>SUM(4bm!G39)</f>
        <v>5500</v>
      </c>
      <c r="D27" s="895">
        <v>53094</v>
      </c>
      <c r="E27" s="895">
        <v>0</v>
      </c>
    </row>
    <row r="28" spans="1:5" ht="12.75">
      <c r="A28" s="767" t="s">
        <v>698</v>
      </c>
      <c r="B28" s="7">
        <f>SUM(4bm!F41)</f>
        <v>4050</v>
      </c>
      <c r="C28" s="7">
        <f>SUM(4bm!G41)</f>
        <v>4050</v>
      </c>
      <c r="D28" s="895">
        <v>4050</v>
      </c>
      <c r="E28" s="895">
        <v>0</v>
      </c>
    </row>
    <row r="29" spans="1:5" ht="12.75">
      <c r="A29" s="767" t="s">
        <v>338</v>
      </c>
      <c r="B29" s="7">
        <f>4bm!F43</f>
        <v>9491</v>
      </c>
      <c r="C29" s="7">
        <f>4bm!G43</f>
        <v>9491</v>
      </c>
      <c r="D29" s="895">
        <v>0</v>
      </c>
      <c r="E29" s="895">
        <v>0</v>
      </c>
    </row>
    <row r="30" spans="1:5" ht="12.75">
      <c r="A30" s="767" t="s">
        <v>1334</v>
      </c>
      <c r="B30" s="7">
        <f>4bm!F44</f>
        <v>18153</v>
      </c>
      <c r="C30" s="7">
        <f>4bm!G44</f>
        <v>18153</v>
      </c>
      <c r="D30" s="895">
        <v>0</v>
      </c>
      <c r="E30" s="895">
        <v>0</v>
      </c>
    </row>
    <row r="31" spans="1:5" ht="12.75">
      <c r="A31" s="46" t="s">
        <v>701</v>
      </c>
      <c r="B31" s="35">
        <v>0</v>
      </c>
      <c r="C31" s="35">
        <v>0</v>
      </c>
      <c r="D31" s="893">
        <v>0</v>
      </c>
      <c r="E31" s="893">
        <v>2940</v>
      </c>
    </row>
    <row r="32" spans="1:5" ht="12.75">
      <c r="A32" s="10" t="s">
        <v>699</v>
      </c>
      <c r="B32" s="49">
        <f>+B33+B34</f>
        <v>242370.26244000002</v>
      </c>
      <c r="C32" s="49">
        <f>+C33+C34</f>
        <v>242370.26244000002</v>
      </c>
      <c r="D32" s="893">
        <f>SUM(D33:D34)</f>
        <v>137295</v>
      </c>
      <c r="E32" s="893">
        <f>SUM(E33:E34)</f>
        <v>458989</v>
      </c>
    </row>
    <row r="33" spans="1:5" ht="12.75">
      <c r="A33" s="275" t="s">
        <v>529</v>
      </c>
      <c r="B33" s="18">
        <f>+2am!N20</f>
        <v>213346.15594000003</v>
      </c>
      <c r="C33" s="18">
        <f>+2am!O20</f>
        <v>213346.15594000003</v>
      </c>
      <c r="D33" s="894">
        <v>57260</v>
      </c>
      <c r="E33" s="894">
        <v>396599</v>
      </c>
    </row>
    <row r="34" spans="1:5" ht="12.75">
      <c r="A34" s="275" t="s">
        <v>253</v>
      </c>
      <c r="B34" s="18">
        <f>+4bm!F45</f>
        <v>29024.1065</v>
      </c>
      <c r="C34" s="18">
        <f>+4bm!G45</f>
        <v>29024.1065</v>
      </c>
      <c r="D34" s="894">
        <v>80035</v>
      </c>
      <c r="E34" s="894">
        <v>62390</v>
      </c>
    </row>
    <row r="35" spans="1:5" ht="12.75">
      <c r="A35" s="46" t="s">
        <v>700</v>
      </c>
      <c r="B35" s="49">
        <f>+B36+B39</f>
        <v>400</v>
      </c>
      <c r="C35" s="49">
        <f>+C36+C39</f>
        <v>400</v>
      </c>
      <c r="D35" s="893">
        <f>D36+D39</f>
        <v>34298</v>
      </c>
      <c r="E35" s="893">
        <f>SUM(E36:E41)</f>
        <v>0</v>
      </c>
    </row>
    <row r="36" spans="1:5" ht="12.75">
      <c r="A36" s="150" t="s">
        <v>449</v>
      </c>
      <c r="B36" s="39">
        <f>B37+B38</f>
        <v>200</v>
      </c>
      <c r="C36" s="39">
        <f>C37+C38</f>
        <v>200</v>
      </c>
      <c r="D36" s="895">
        <f>D37+D38</f>
        <v>34098</v>
      </c>
      <c r="E36" s="895">
        <v>0</v>
      </c>
    </row>
    <row r="37" spans="1:5" ht="12.75">
      <c r="A37" s="768" t="s">
        <v>1405</v>
      </c>
      <c r="B37" s="7">
        <f>5m!B15</f>
        <v>100</v>
      </c>
      <c r="C37" s="8">
        <f>B37</f>
        <v>100</v>
      </c>
      <c r="D37" s="895">
        <v>33998</v>
      </c>
      <c r="E37" s="895">
        <v>0</v>
      </c>
    </row>
    <row r="38" spans="1:5" ht="12.75">
      <c r="A38" s="768" t="s">
        <v>1406</v>
      </c>
      <c r="B38" s="7">
        <f>5m!B16</f>
        <v>100</v>
      </c>
      <c r="C38" s="8">
        <f>B38</f>
        <v>100</v>
      </c>
      <c r="D38" s="895">
        <v>100</v>
      </c>
      <c r="E38" s="895">
        <v>0</v>
      </c>
    </row>
    <row r="39" spans="1:5" ht="12.75">
      <c r="A39" s="150" t="s">
        <v>1134</v>
      </c>
      <c r="B39" s="345">
        <f>SUM(B40:B41)</f>
        <v>200</v>
      </c>
      <c r="C39" s="345">
        <f>SUM(C40:C41)</f>
        <v>200</v>
      </c>
      <c r="D39" s="896">
        <f>SUM(D40:D41)</f>
        <v>200</v>
      </c>
      <c r="E39" s="896">
        <v>0</v>
      </c>
    </row>
    <row r="40" spans="1:5" ht="12.75">
      <c r="A40" s="768" t="s">
        <v>1405</v>
      </c>
      <c r="B40" s="7">
        <f>+5m!B19</f>
        <v>100</v>
      </c>
      <c r="C40" s="1108">
        <f>B40</f>
        <v>100</v>
      </c>
      <c r="D40" s="895">
        <v>100</v>
      </c>
      <c r="E40" s="895">
        <v>0</v>
      </c>
    </row>
    <row r="41" spans="1:5" ht="12.75">
      <c r="A41" s="768" t="s">
        <v>1406</v>
      </c>
      <c r="B41" s="7">
        <f>5m!B20</f>
        <v>100</v>
      </c>
      <c r="C41" s="1108">
        <f>B41</f>
        <v>100</v>
      </c>
      <c r="D41" s="895">
        <v>100</v>
      </c>
      <c r="E41" s="895">
        <v>0</v>
      </c>
    </row>
    <row r="42" spans="1:5" ht="15.75">
      <c r="A42" s="153" t="s">
        <v>450</v>
      </c>
      <c r="B42" s="155">
        <f>+B9+B19+B32+B35</f>
        <v>1983787.5287077164</v>
      </c>
      <c r="C42" s="155">
        <f>+C9+C19+C32+C35</f>
        <v>2000042.5287077164</v>
      </c>
      <c r="D42" s="897">
        <f>SUM(D9,D19,D31,D32,D35)</f>
        <v>2633552</v>
      </c>
      <c r="E42" s="897">
        <f>SUM(E9,E19,E31,E32,E35)</f>
        <v>1931219</v>
      </c>
    </row>
    <row r="43" spans="1:5" ht="12.75">
      <c r="A43" s="757"/>
      <c r="B43" s="274"/>
      <c r="C43" s="706"/>
      <c r="D43" s="898"/>
      <c r="E43" s="898"/>
    </row>
    <row r="44" spans="1:5" ht="15" customHeight="1">
      <c r="A44" s="12" t="s">
        <v>1294</v>
      </c>
      <c r="B44" s="49">
        <f>+B45+B46+B47+B48</f>
        <v>1089689.493564</v>
      </c>
      <c r="C44" s="49">
        <f>+C45+C46+C47+C48</f>
        <v>1099563.493564</v>
      </c>
      <c r="D44" s="893">
        <f>SUM(D45:D48)</f>
        <v>1176220</v>
      </c>
      <c r="E44" s="893">
        <f>SUM(E45:E48)</f>
        <v>1407581</v>
      </c>
    </row>
    <row r="45" spans="1:5" s="10" customFormat="1" ht="12.75">
      <c r="A45" s="14" t="s">
        <v>1407</v>
      </c>
      <c r="B45" s="18">
        <f>1bm!B22</f>
        <v>79401</v>
      </c>
      <c r="C45" s="18">
        <f>1bm!C22</f>
        <v>84887</v>
      </c>
      <c r="D45" s="894">
        <v>56652</v>
      </c>
      <c r="E45" s="894">
        <v>71519</v>
      </c>
    </row>
    <row r="46" spans="1:5" s="25" customFormat="1" ht="12.75">
      <c r="A46" s="497" t="s">
        <v>1408</v>
      </c>
      <c r="B46" s="18">
        <f>1bm!D22</f>
        <v>124600</v>
      </c>
      <c r="C46" s="18">
        <f>1bm!E22</f>
        <v>124600</v>
      </c>
      <c r="D46" s="894">
        <v>326979</v>
      </c>
      <c r="E46" s="894">
        <v>333817</v>
      </c>
    </row>
    <row r="47" spans="1:5" s="41" customFormat="1" ht="12.75">
      <c r="A47" s="497" t="s">
        <v>1409</v>
      </c>
      <c r="B47" s="555">
        <f>1bm!F22</f>
        <v>651100.493564</v>
      </c>
      <c r="C47" s="555">
        <f>1bm!G22</f>
        <v>655488.493564</v>
      </c>
      <c r="D47" s="899">
        <v>493709</v>
      </c>
      <c r="E47" s="899">
        <v>706830</v>
      </c>
    </row>
    <row r="48" spans="1:5" s="41" customFormat="1" ht="12.75">
      <c r="A48" s="497" t="s">
        <v>1410</v>
      </c>
      <c r="B48" s="18">
        <f>1bm!H22+1bm!J22</f>
        <v>234588</v>
      </c>
      <c r="C48" s="18">
        <f>1bm!I22+1bm!K22</f>
        <v>234588</v>
      </c>
      <c r="D48" s="894">
        <v>298880</v>
      </c>
      <c r="E48" s="894">
        <v>295415</v>
      </c>
    </row>
    <row r="49" spans="1:5" s="41" customFormat="1" ht="12.75">
      <c r="A49" s="46" t="s">
        <v>1411</v>
      </c>
      <c r="B49" s="49">
        <f>+B50+B51+B52+B53</f>
        <v>825337.4639</v>
      </c>
      <c r="C49" s="49">
        <f>+C50+C51+C52+C53</f>
        <v>831718.4639</v>
      </c>
      <c r="D49" s="893">
        <f>SUM(D50:D52)</f>
        <v>1185788</v>
      </c>
      <c r="E49" s="893">
        <f>SUM(E50:E52)</f>
        <v>143929</v>
      </c>
    </row>
    <row r="50" spans="1:5" s="41" customFormat="1" ht="12.75">
      <c r="A50" s="622" t="s">
        <v>1412</v>
      </c>
      <c r="B50" s="626">
        <f>4am!B8</f>
        <v>74991</v>
      </c>
      <c r="C50" s="626">
        <f>4am!C8</f>
        <v>81372</v>
      </c>
      <c r="D50" s="900">
        <v>180628</v>
      </c>
      <c r="E50" s="900">
        <v>45001</v>
      </c>
    </row>
    <row r="51" spans="1:5" s="41" customFormat="1" ht="12.75">
      <c r="A51" s="622" t="s">
        <v>1413</v>
      </c>
      <c r="B51" s="626">
        <f>4am!B21</f>
        <v>80219.4639</v>
      </c>
      <c r="C51" s="626">
        <f>4am!C21</f>
        <v>80219.4639</v>
      </c>
      <c r="D51" s="900">
        <v>61223</v>
      </c>
      <c r="E51" s="900">
        <v>14423</v>
      </c>
    </row>
    <row r="52" spans="1:5" s="41" customFormat="1" ht="12.75">
      <c r="A52" s="632" t="s">
        <v>691</v>
      </c>
      <c r="B52" s="626">
        <f>4am!B32</f>
        <v>660592</v>
      </c>
      <c r="C52" s="626">
        <f>4am!C32</f>
        <v>660592</v>
      </c>
      <c r="D52" s="900">
        <v>943937</v>
      </c>
      <c r="E52" s="900">
        <v>84505</v>
      </c>
    </row>
    <row r="53" spans="1:5" s="41" customFormat="1" ht="12.75">
      <c r="A53" s="632" t="s">
        <v>1456</v>
      </c>
      <c r="B53" s="626">
        <f>4am!B44</f>
        <v>9535</v>
      </c>
      <c r="C53" s="626">
        <f>4am!C44</f>
        <v>9535</v>
      </c>
      <c r="D53" s="900">
        <v>0</v>
      </c>
      <c r="E53" s="900">
        <v>0</v>
      </c>
    </row>
    <row r="54" spans="1:5" s="41" customFormat="1" ht="12.75">
      <c r="A54" s="634" t="s">
        <v>692</v>
      </c>
      <c r="B54" s="179">
        <v>0</v>
      </c>
      <c r="C54" s="179">
        <v>0</v>
      </c>
      <c r="D54" s="901">
        <v>0</v>
      </c>
      <c r="E54" s="901">
        <v>0</v>
      </c>
    </row>
    <row r="55" spans="1:5" s="10" customFormat="1" ht="12.75">
      <c r="A55" s="12" t="s">
        <v>693</v>
      </c>
      <c r="B55" s="49">
        <f>+B57+B58+B60+B61</f>
        <v>68762</v>
      </c>
      <c r="C55" s="49">
        <f>+C57+C58+C60+C61</f>
        <v>68762</v>
      </c>
      <c r="D55" s="893">
        <f>SUM(D56:D61)</f>
        <v>271544</v>
      </c>
      <c r="E55" s="893">
        <f>SUM(E58,E61)</f>
        <v>518784</v>
      </c>
    </row>
    <row r="56" spans="1:5" ht="12.75">
      <c r="A56" s="321" t="s">
        <v>422</v>
      </c>
      <c r="B56" s="39"/>
      <c r="C56" s="7"/>
      <c r="D56" s="895"/>
      <c r="E56" s="895"/>
    </row>
    <row r="57" spans="1:5" ht="25.5">
      <c r="A57" s="742" t="s">
        <v>423</v>
      </c>
      <c r="B57" s="39">
        <f>2m!B52</f>
        <v>61257</v>
      </c>
      <c r="C57" s="39">
        <f>2m!C52</f>
        <v>61257</v>
      </c>
      <c r="D57" s="895">
        <v>3021</v>
      </c>
      <c r="E57" s="895">
        <v>0</v>
      </c>
    </row>
    <row r="58" spans="1:5" ht="12.75">
      <c r="A58" s="743" t="s">
        <v>545</v>
      </c>
      <c r="B58" s="39"/>
      <c r="C58" s="39"/>
      <c r="D58" s="895">
        <v>239803</v>
      </c>
      <c r="E58" s="895">
        <v>475984</v>
      </c>
    </row>
    <row r="59" spans="1:5" ht="12.75">
      <c r="A59" s="712" t="s">
        <v>1150</v>
      </c>
      <c r="B59" s="39"/>
      <c r="C59" s="39"/>
      <c r="D59" s="895"/>
      <c r="E59" s="895"/>
    </row>
    <row r="60" spans="1:5" ht="25.5">
      <c r="A60" s="743" t="s">
        <v>425</v>
      </c>
      <c r="B60" s="39">
        <f>4am!B47</f>
        <v>7505</v>
      </c>
      <c r="C60" s="39">
        <f>4am!C47</f>
        <v>7505</v>
      </c>
      <c r="D60" s="895">
        <v>28720</v>
      </c>
      <c r="E60" s="895">
        <v>0</v>
      </c>
    </row>
    <row r="61" spans="1:5" ht="12.75">
      <c r="A61" s="743" t="s">
        <v>426</v>
      </c>
      <c r="B61" s="39">
        <f>+4am!B46</f>
        <v>0</v>
      </c>
      <c r="C61" s="39"/>
      <c r="D61" s="895">
        <v>0</v>
      </c>
      <c r="E61" s="895">
        <v>42800</v>
      </c>
    </row>
    <row r="62" spans="1:5" s="30" customFormat="1" ht="15.75">
      <c r="A62" s="153" t="s">
        <v>447</v>
      </c>
      <c r="B62" s="769">
        <f>+B44+B49+B55-1</f>
        <v>1983787.9574639997</v>
      </c>
      <c r="C62" s="769">
        <f>+C44+C49+C55-1</f>
        <v>2000042.9574639997</v>
      </c>
      <c r="D62" s="897">
        <f>SUM(D44,D49,D55)</f>
        <v>2633552</v>
      </c>
      <c r="E62" s="897">
        <f>SUM(E44,E49,E55,E54)</f>
        <v>2070294</v>
      </c>
    </row>
    <row r="63" spans="1:4" ht="12.75">
      <c r="A63" s="1123"/>
      <c r="B63" s="1123"/>
      <c r="C63" s="1123"/>
      <c r="D63" s="884"/>
    </row>
    <row r="64" spans="2:5" ht="12.75">
      <c r="B64" s="8"/>
      <c r="D64" s="8"/>
      <c r="E64" s="8"/>
    </row>
  </sheetData>
  <sheetProtection/>
  <mergeCells count="4">
    <mergeCell ref="B1:C1"/>
    <mergeCell ref="A63:C63"/>
    <mergeCell ref="A5:E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F49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82.28125" style="0" customWidth="1"/>
    <col min="2" max="2" width="21.57421875" style="0" customWidth="1"/>
    <col min="3" max="3" width="26.00390625" style="0" customWidth="1"/>
  </cols>
  <sheetData>
    <row r="1" s="148" customFormat="1" ht="15.75">
      <c r="C1" s="711" t="s">
        <v>548</v>
      </c>
    </row>
    <row r="2" spans="1:2" s="148" customFormat="1" ht="15.75">
      <c r="A2" s="1156" t="s">
        <v>1518</v>
      </c>
      <c r="B2" s="1156"/>
    </row>
    <row r="3" s="148" customFormat="1" ht="15.75">
      <c r="B3" s="214"/>
    </row>
    <row r="4" spans="1:2" s="148" customFormat="1" ht="15.75" customHeight="1">
      <c r="A4" s="1132" t="s">
        <v>888</v>
      </c>
      <c r="B4" s="1132"/>
    </row>
    <row r="5" s="148" customFormat="1" ht="15.75">
      <c r="A5" s="668"/>
    </row>
    <row r="6" ht="12.75">
      <c r="B6" s="1" t="s">
        <v>298</v>
      </c>
    </row>
    <row r="7" spans="1:3" ht="27" customHeight="1">
      <c r="A7" s="215" t="s">
        <v>1037</v>
      </c>
      <c r="B7" s="215" t="s">
        <v>160</v>
      </c>
      <c r="C7" s="215" t="s">
        <v>1533</v>
      </c>
    </row>
    <row r="8" spans="1:3" s="10" customFormat="1" ht="27" customHeight="1">
      <c r="A8" s="133" t="s">
        <v>299</v>
      </c>
      <c r="B8" s="216">
        <f>B9+B14</f>
        <v>74991</v>
      </c>
      <c r="C8" s="216">
        <f>C9+C14</f>
        <v>81372</v>
      </c>
    </row>
    <row r="9" spans="1:3" ht="27" customHeight="1">
      <c r="A9" s="1069" t="s">
        <v>300</v>
      </c>
      <c r="B9" s="889">
        <f>SUM(B10:B13)</f>
        <v>31437</v>
      </c>
      <c r="C9" s="889">
        <f>SUM(C10:C13)</f>
        <v>37818</v>
      </c>
    </row>
    <row r="10" spans="1:3" ht="27" customHeight="1">
      <c r="A10" s="115" t="s">
        <v>301</v>
      </c>
      <c r="B10" s="218"/>
      <c r="C10" s="218"/>
    </row>
    <row r="11" spans="1:3" ht="27" customHeight="1">
      <c r="A11" s="115" t="s">
        <v>665</v>
      </c>
      <c r="B11" s="218"/>
      <c r="C11" s="218"/>
    </row>
    <row r="12" spans="1:3" ht="27" customHeight="1">
      <c r="A12" s="115" t="s">
        <v>666</v>
      </c>
      <c r="B12" s="218">
        <v>25437</v>
      </c>
      <c r="C12" s="218">
        <f>25437+750+3302+2041+288</f>
        <v>31818</v>
      </c>
    </row>
    <row r="13" spans="1:3" ht="27" customHeight="1">
      <c r="A13" s="115" t="s">
        <v>667</v>
      </c>
      <c r="B13" s="218">
        <v>6000</v>
      </c>
      <c r="C13" s="218">
        <v>6000</v>
      </c>
    </row>
    <row r="14" spans="1:3" ht="27" customHeight="1">
      <c r="A14" s="1069" t="s">
        <v>302</v>
      </c>
      <c r="B14" s="889">
        <f>SUM(B15:B19)</f>
        <v>43554</v>
      </c>
      <c r="C14" s="889">
        <f>SUM(C15:C19)</f>
        <v>43554</v>
      </c>
    </row>
    <row r="15" spans="1:3" ht="27" customHeight="1">
      <c r="A15" s="115" t="s">
        <v>303</v>
      </c>
      <c r="B15" s="218">
        <f>'Fejlesztési bevételek'!E15</f>
        <v>2704</v>
      </c>
      <c r="C15" s="218">
        <f aca="true" t="shared" si="0" ref="C15:C20">B15</f>
        <v>2704</v>
      </c>
    </row>
    <row r="16" spans="1:3" ht="27" customHeight="1">
      <c r="A16" s="115" t="s">
        <v>464</v>
      </c>
      <c r="B16" s="218">
        <f>'Fejlesztési bevételek'!E16</f>
        <v>100</v>
      </c>
      <c r="C16" s="218">
        <f t="shared" si="0"/>
        <v>100</v>
      </c>
    </row>
    <row r="17" spans="1:3" ht="27" customHeight="1">
      <c r="A17" s="115" t="s">
        <v>465</v>
      </c>
      <c r="B17" s="218">
        <f>'Fejlesztési bevételek'!E17</f>
        <v>2000</v>
      </c>
      <c r="C17" s="218">
        <f t="shared" si="0"/>
        <v>2000</v>
      </c>
    </row>
    <row r="18" spans="1:3" ht="27" customHeight="1">
      <c r="A18" s="115" t="s">
        <v>466</v>
      </c>
      <c r="B18" s="218">
        <f>'Fejlesztési bevételek'!E19+'Fejlesztési bevételek'!E18</f>
        <v>19050</v>
      </c>
      <c r="C18" s="218">
        <f t="shared" si="0"/>
        <v>19050</v>
      </c>
    </row>
    <row r="19" spans="1:3" ht="27" customHeight="1">
      <c r="A19" s="621" t="s">
        <v>467</v>
      </c>
      <c r="B19" s="218">
        <f>'Fejlesztési bevételek'!E20</f>
        <v>19700</v>
      </c>
      <c r="C19" s="218">
        <f t="shared" si="0"/>
        <v>19700</v>
      </c>
    </row>
    <row r="20" spans="1:3" ht="27" customHeight="1">
      <c r="A20" s="1077" t="s">
        <v>254</v>
      </c>
      <c r="B20" s="218">
        <v>0</v>
      </c>
      <c r="C20" s="218">
        <f t="shared" si="0"/>
        <v>0</v>
      </c>
    </row>
    <row r="21" spans="1:3" s="10" customFormat="1" ht="27" customHeight="1">
      <c r="A21" s="133" t="s">
        <v>1372</v>
      </c>
      <c r="B21" s="216">
        <f>+B22+B30</f>
        <v>80219.4639</v>
      </c>
      <c r="C21" s="216">
        <f>+C22+C30</f>
        <v>80219.4639</v>
      </c>
    </row>
    <row r="22" spans="1:3" s="10" customFormat="1" ht="27" customHeight="1">
      <c r="A22" s="1069" t="s">
        <v>1373</v>
      </c>
      <c r="B22" s="339">
        <f>SUM(B23:B29)</f>
        <v>75490.4639</v>
      </c>
      <c r="C22" s="339">
        <f>SUM(C23:C29)</f>
        <v>75490.4639</v>
      </c>
    </row>
    <row r="23" spans="1:6" ht="27" customHeight="1">
      <c r="A23" s="760" t="s">
        <v>668</v>
      </c>
      <c r="B23" s="218">
        <f>'Fejlesztési bevételek'!E32</f>
        <v>18334</v>
      </c>
      <c r="C23" s="218">
        <f>B23</f>
        <v>18334</v>
      </c>
      <c r="D23" s="416"/>
      <c r="E23" s="416"/>
      <c r="F23" s="416"/>
    </row>
    <row r="24" spans="1:6" ht="27" customHeight="1">
      <c r="A24" s="760" t="s">
        <v>506</v>
      </c>
      <c r="B24" s="218">
        <f>'Fejlesztési bevételek'!E33</f>
        <v>1797</v>
      </c>
      <c r="C24" s="218">
        <f aca="true" t="shared" si="1" ref="C24:C31">B24</f>
        <v>1797</v>
      </c>
      <c r="D24" s="416"/>
      <c r="E24" s="416"/>
      <c r="F24" s="416"/>
    </row>
    <row r="25" spans="1:6" ht="27" customHeight="1">
      <c r="A25" s="760" t="s">
        <v>507</v>
      </c>
      <c r="B25" s="218">
        <f>'Fejlesztési bevételek'!E26</f>
        <v>2995</v>
      </c>
      <c r="C25" s="218">
        <f t="shared" si="1"/>
        <v>2995</v>
      </c>
      <c r="D25" s="416"/>
      <c r="E25" s="416"/>
      <c r="F25" s="416"/>
    </row>
    <row r="26" spans="1:6" ht="31.5" customHeight="1">
      <c r="A26" s="761" t="s">
        <v>1464</v>
      </c>
      <c r="B26" s="218">
        <f>'Fejlesztési bevételek'!E29</f>
        <v>10984</v>
      </c>
      <c r="C26" s="218">
        <f t="shared" si="1"/>
        <v>10984</v>
      </c>
      <c r="D26" s="416"/>
      <c r="E26" s="416"/>
      <c r="F26" s="416"/>
    </row>
    <row r="27" spans="1:6" ht="31.5" customHeight="1">
      <c r="A27" s="761" t="s">
        <v>1465</v>
      </c>
      <c r="B27" s="218">
        <f>'Fejlesztési bevételek'!E35</f>
        <v>5297</v>
      </c>
      <c r="C27" s="218">
        <f t="shared" si="1"/>
        <v>5297</v>
      </c>
      <c r="D27" s="416"/>
      <c r="E27" s="416"/>
      <c r="F27" s="416"/>
    </row>
    <row r="28" spans="1:6" ht="31.5" customHeight="1">
      <c r="A28" s="761" t="s">
        <v>1332</v>
      </c>
      <c r="B28" s="218">
        <v>18669</v>
      </c>
      <c r="C28" s="218">
        <f t="shared" si="1"/>
        <v>18669</v>
      </c>
      <c r="D28" s="416"/>
      <c r="E28" s="416"/>
      <c r="F28" s="416"/>
    </row>
    <row r="29" spans="1:6" ht="31.5" customHeight="1">
      <c r="A29" s="761" t="s">
        <v>1331</v>
      </c>
      <c r="B29" s="218">
        <f>('Fejlesztési kiadások'!E76+'Fejlesztési kiadások'!E87)*0.6</f>
        <v>17414.4639</v>
      </c>
      <c r="C29" s="218">
        <f t="shared" si="1"/>
        <v>17414.4639</v>
      </c>
      <c r="D29" s="416"/>
      <c r="E29" s="416"/>
      <c r="F29" s="416"/>
    </row>
    <row r="30" spans="1:6" ht="31.5" customHeight="1">
      <c r="A30" s="1075" t="s">
        <v>1374</v>
      </c>
      <c r="B30" s="381">
        <f>B31</f>
        <v>4729</v>
      </c>
      <c r="C30" s="218">
        <f t="shared" si="1"/>
        <v>4729</v>
      </c>
      <c r="D30" s="416"/>
      <c r="E30" s="416"/>
      <c r="F30" s="416"/>
    </row>
    <row r="31" spans="1:6" ht="31.5" customHeight="1">
      <c r="A31" s="762" t="s">
        <v>1467</v>
      </c>
      <c r="B31" s="218">
        <v>4729</v>
      </c>
      <c r="C31" s="218">
        <f t="shared" si="1"/>
        <v>4729</v>
      </c>
      <c r="D31" s="416"/>
      <c r="E31" s="416"/>
      <c r="F31" s="416"/>
    </row>
    <row r="32" spans="1:6" ht="31.5" customHeight="1">
      <c r="A32" s="763" t="s">
        <v>1375</v>
      </c>
      <c r="B32" s="216">
        <f>B33+B40+B43</f>
        <v>660592</v>
      </c>
      <c r="C32" s="216">
        <f>C33+C40+C43</f>
        <v>660592</v>
      </c>
      <c r="D32" s="416"/>
      <c r="E32" s="416"/>
      <c r="F32" s="416"/>
    </row>
    <row r="33" spans="1:6" s="119" customFormat="1" ht="27" customHeight="1">
      <c r="A33" s="1069" t="s">
        <v>1376</v>
      </c>
      <c r="B33" s="381">
        <f>SUM(B34:B39)</f>
        <v>660592</v>
      </c>
      <c r="C33" s="381">
        <f>SUM(C34:C39)</f>
        <v>660592</v>
      </c>
      <c r="D33" s="416"/>
      <c r="E33" s="416"/>
      <c r="F33" s="416"/>
    </row>
    <row r="34" spans="1:6" s="119" customFormat="1" ht="30" customHeight="1">
      <c r="A34" s="1078" t="s">
        <v>532</v>
      </c>
      <c r="B34" s="218">
        <f>'Fejlesztési bevételek'!E31</f>
        <v>71229</v>
      </c>
      <c r="C34" s="218">
        <f aca="true" t="shared" si="2" ref="C34:C39">B34</f>
        <v>71229</v>
      </c>
      <c r="D34" s="416"/>
      <c r="E34" s="416"/>
      <c r="F34" s="416"/>
    </row>
    <row r="35" spans="1:6" s="119" customFormat="1" ht="34.5" customHeight="1">
      <c r="A35" s="311" t="s">
        <v>502</v>
      </c>
      <c r="B35" s="218">
        <f>'Fejlesztési bevételek'!E25</f>
        <v>75524</v>
      </c>
      <c r="C35" s="218">
        <f t="shared" si="2"/>
        <v>75524</v>
      </c>
      <c r="D35" s="416"/>
      <c r="E35" s="416"/>
      <c r="F35" s="416"/>
    </row>
    <row r="36" spans="1:6" s="118" customFormat="1" ht="34.5" customHeight="1">
      <c r="A36" s="311" t="s">
        <v>503</v>
      </c>
      <c r="B36" s="218">
        <f>'Fejlesztési bevételek'!E28</f>
        <v>491325</v>
      </c>
      <c r="C36" s="218">
        <f t="shared" si="2"/>
        <v>491325</v>
      </c>
      <c r="D36" s="416"/>
      <c r="E36" s="416"/>
      <c r="F36" s="416"/>
    </row>
    <row r="37" spans="1:6" s="118" customFormat="1" ht="34.5" customHeight="1">
      <c r="A37" s="764" t="s">
        <v>504</v>
      </c>
      <c r="B37" s="218">
        <f>'Fejlesztési bevételek'!E34</f>
        <v>22514</v>
      </c>
      <c r="C37" s="218">
        <f t="shared" si="2"/>
        <v>22514</v>
      </c>
      <c r="D37" s="416"/>
      <c r="E37" s="416"/>
      <c r="F37" s="416"/>
    </row>
    <row r="38" spans="1:6" s="118" customFormat="1" ht="34.5" customHeight="1">
      <c r="A38" s="759" t="s">
        <v>505</v>
      </c>
      <c r="B38" s="91">
        <v>0</v>
      </c>
      <c r="C38" s="218">
        <f t="shared" si="2"/>
        <v>0</v>
      </c>
      <c r="D38" s="416"/>
      <c r="E38" s="416"/>
      <c r="F38" s="416"/>
    </row>
    <row r="39" spans="1:6" s="118" customFormat="1" ht="27" customHeight="1">
      <c r="A39" s="759" t="s">
        <v>1378</v>
      </c>
      <c r="B39" s="218">
        <v>0</v>
      </c>
      <c r="C39" s="218">
        <f t="shared" si="2"/>
        <v>0</v>
      </c>
      <c r="D39" s="416"/>
      <c r="E39" s="416"/>
      <c r="F39" s="416"/>
    </row>
    <row r="40" spans="1:6" s="118" customFormat="1" ht="27" customHeight="1">
      <c r="A40" s="1069" t="s">
        <v>1377</v>
      </c>
      <c r="B40" s="218">
        <f>SUM(B41:B42)</f>
        <v>0</v>
      </c>
      <c r="C40" s="218">
        <f>SUM(C41:C42)</f>
        <v>0</v>
      </c>
      <c r="D40" s="416"/>
      <c r="E40" s="416"/>
      <c r="F40" s="416"/>
    </row>
    <row r="41" spans="1:6" s="118" customFormat="1" ht="27" customHeight="1">
      <c r="A41" s="759"/>
      <c r="B41" s="218"/>
      <c r="C41" s="218"/>
      <c r="D41" s="416"/>
      <c r="E41" s="416"/>
      <c r="F41" s="416"/>
    </row>
    <row r="42" spans="1:6" s="118" customFormat="1" ht="27" customHeight="1">
      <c r="A42" s="759"/>
      <c r="B42" s="218"/>
      <c r="C42" s="218"/>
      <c r="D42" s="416"/>
      <c r="E42" s="416"/>
      <c r="F42" s="416"/>
    </row>
    <row r="43" spans="1:6" s="118" customFormat="1" ht="30.75" customHeight="1">
      <c r="A43" s="1075" t="s">
        <v>670</v>
      </c>
      <c r="B43" s="339"/>
      <c r="C43" s="339"/>
      <c r="D43" s="416"/>
      <c r="E43" s="416"/>
      <c r="F43" s="416"/>
    </row>
    <row r="44" spans="1:6" s="118" customFormat="1" ht="30.75" customHeight="1">
      <c r="A44" s="133" t="s">
        <v>1453</v>
      </c>
      <c r="B44" s="1076">
        <f>B45</f>
        <v>9535</v>
      </c>
      <c r="C44" s="1076">
        <f>C45</f>
        <v>9535</v>
      </c>
      <c r="D44" s="416"/>
      <c r="E44" s="416"/>
      <c r="F44" s="416"/>
    </row>
    <row r="45" spans="1:6" s="118" customFormat="1" ht="26.25" customHeight="1">
      <c r="A45" s="764" t="s">
        <v>496</v>
      </c>
      <c r="B45" s="339">
        <f>'Fejlesztési bevételek'!E56</f>
        <v>9535</v>
      </c>
      <c r="C45" s="339">
        <f>B45</f>
        <v>9535</v>
      </c>
      <c r="D45" s="416"/>
      <c r="E45" s="416"/>
      <c r="F45" s="416"/>
    </row>
    <row r="46" spans="1:6" ht="27" customHeight="1">
      <c r="A46" s="133" t="s">
        <v>1454</v>
      </c>
      <c r="B46" s="216">
        <v>0</v>
      </c>
      <c r="C46" s="216">
        <v>0</v>
      </c>
      <c r="D46" s="416"/>
      <c r="E46" s="416"/>
      <c r="F46" s="416"/>
    </row>
    <row r="47" spans="1:3" ht="27" customHeight="1">
      <c r="A47" s="133" t="s">
        <v>1455</v>
      </c>
      <c r="B47" s="216">
        <f>B48</f>
        <v>7505</v>
      </c>
      <c r="C47" s="216">
        <f>C48</f>
        <v>7505</v>
      </c>
    </row>
    <row r="48" spans="1:3" ht="27" customHeight="1">
      <c r="A48" s="764" t="s">
        <v>496</v>
      </c>
      <c r="B48" s="216">
        <f>pénzmaradvány!B7</f>
        <v>7505</v>
      </c>
      <c r="C48" s="216">
        <f>B48</f>
        <v>7505</v>
      </c>
    </row>
    <row r="49" spans="1:3" ht="27" customHeight="1">
      <c r="A49" s="219" t="s">
        <v>305</v>
      </c>
      <c r="B49" s="220">
        <f>+B8+B21+B32+B46+B47+B44</f>
        <v>832842.4639</v>
      </c>
      <c r="C49" s="220">
        <f>+C8+C21+C32+C46+C47+C44</f>
        <v>839223.4639</v>
      </c>
    </row>
  </sheetData>
  <sheetProtection/>
  <mergeCells count="2">
    <mergeCell ref="A4:B4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O113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9.140625" defaultRowHeight="27" customHeight="1"/>
  <cols>
    <col min="1" max="1" width="97.421875" style="91" bestFit="1" customWidth="1"/>
    <col min="2" max="3" width="15.140625" style="91" customWidth="1"/>
    <col min="4" max="5" width="17.8515625" style="91" customWidth="1"/>
    <col min="6" max="6" width="17.7109375" style="91" customWidth="1"/>
    <col min="7" max="7" width="15.57421875" style="91" customWidth="1"/>
    <col min="8" max="8" width="13.8515625" style="91" customWidth="1"/>
    <col min="9" max="9" width="11.8515625" style="91" bestFit="1" customWidth="1"/>
    <col min="10" max="10" width="38.57421875" style="91" customWidth="1"/>
    <col min="11" max="11" width="9.28125" style="91" bestFit="1" customWidth="1"/>
    <col min="12" max="16384" width="9.140625" style="91" customWidth="1"/>
  </cols>
  <sheetData>
    <row r="1" spans="7:9" ht="15">
      <c r="G1" s="773" t="s">
        <v>549</v>
      </c>
      <c r="H1" s="773"/>
      <c r="I1" s="773"/>
    </row>
    <row r="2" spans="1:6" ht="27" customHeight="1">
      <c r="A2" s="1194" t="s">
        <v>1518</v>
      </c>
      <c r="B2" s="1194"/>
      <c r="C2" s="1194"/>
      <c r="D2" s="1194"/>
      <c r="E2" s="1194"/>
      <c r="F2" s="1194"/>
    </row>
    <row r="3" spans="1:3" ht="27" customHeight="1">
      <c r="A3" s="44"/>
      <c r="B3" s="44"/>
      <c r="C3" s="44"/>
    </row>
    <row r="4" spans="1:6" ht="27" customHeight="1">
      <c r="A4" s="1132" t="s">
        <v>889</v>
      </c>
      <c r="B4" s="1132"/>
      <c r="C4" s="1132"/>
      <c r="D4" s="1132"/>
      <c r="E4" s="1132"/>
      <c r="F4" s="1132"/>
    </row>
    <row r="5" spans="1:6" ht="17.25" customHeight="1">
      <c r="A5" s="666"/>
      <c r="B5" s="667"/>
      <c r="C5" s="667"/>
      <c r="D5" s="667"/>
      <c r="E5" s="1106"/>
      <c r="F5" s="293" t="s">
        <v>298</v>
      </c>
    </row>
    <row r="6" spans="1:7" ht="36" customHeight="1">
      <c r="A6" s="131" t="s">
        <v>1037</v>
      </c>
      <c r="B6" s="1195" t="s">
        <v>306</v>
      </c>
      <c r="C6" s="1196"/>
      <c r="D6" s="1197" t="s">
        <v>808</v>
      </c>
      <c r="E6" s="1198"/>
      <c r="F6" s="1197" t="s">
        <v>307</v>
      </c>
      <c r="G6" s="1198"/>
    </row>
    <row r="7" spans="1:7" ht="36" customHeight="1">
      <c r="A7" s="131"/>
      <c r="B7" s="131" t="s">
        <v>1534</v>
      </c>
      <c r="C7" s="131" t="s">
        <v>1535</v>
      </c>
      <c r="D7" s="132" t="s">
        <v>1534</v>
      </c>
      <c r="E7" s="132" t="s">
        <v>1536</v>
      </c>
      <c r="F7" s="132" t="s">
        <v>1534</v>
      </c>
      <c r="G7" s="132" t="s">
        <v>1535</v>
      </c>
    </row>
    <row r="8" spans="1:7" ht="36" customHeight="1">
      <c r="A8" s="133" t="s">
        <v>1387</v>
      </c>
      <c r="B8" s="134">
        <f aca="true" t="shared" si="0" ref="B8:G8">+B9+B15</f>
        <v>42118</v>
      </c>
      <c r="C8" s="134">
        <f t="shared" si="0"/>
        <v>45420</v>
      </c>
      <c r="D8" s="134">
        <f t="shared" si="0"/>
        <v>711218</v>
      </c>
      <c r="E8" s="134">
        <f t="shared" si="0"/>
        <v>711218</v>
      </c>
      <c r="F8" s="134">
        <f t="shared" si="0"/>
        <v>753336</v>
      </c>
      <c r="G8" s="134">
        <f t="shared" si="0"/>
        <v>756638</v>
      </c>
    </row>
    <row r="9" spans="1:7" ht="27" customHeight="1">
      <c r="A9" s="758" t="s">
        <v>1388</v>
      </c>
      <c r="B9" s="341">
        <f aca="true" t="shared" si="1" ref="B9:G9">SUM(B10:B14)</f>
        <v>42118</v>
      </c>
      <c r="C9" s="341">
        <f t="shared" si="1"/>
        <v>42118</v>
      </c>
      <c r="D9" s="341">
        <f t="shared" si="1"/>
        <v>706218</v>
      </c>
      <c r="E9" s="341">
        <f t="shared" si="1"/>
        <v>706218</v>
      </c>
      <c r="F9" s="341">
        <f t="shared" si="1"/>
        <v>748336</v>
      </c>
      <c r="G9" s="341">
        <f t="shared" si="1"/>
        <v>748336</v>
      </c>
    </row>
    <row r="10" spans="1:7" ht="27" customHeight="1">
      <c r="A10" s="765" t="s">
        <v>532</v>
      </c>
      <c r="B10" s="376">
        <f>F10-D10</f>
        <v>10780</v>
      </c>
      <c r="C10" s="376">
        <f>G10-E10</f>
        <v>10780</v>
      </c>
      <c r="D10" s="376">
        <f>71229+18334+1797</f>
        <v>91360</v>
      </c>
      <c r="E10" s="376">
        <f>71229+18334+1797</f>
        <v>91360</v>
      </c>
      <c r="F10" s="376">
        <f>'Fejlesztési kiadások'!E32+'Fejlesztési kiadások'!E33</f>
        <v>102140</v>
      </c>
      <c r="G10" s="376">
        <f>F10</f>
        <v>102140</v>
      </c>
    </row>
    <row r="11" spans="1:7" ht="27" customHeight="1">
      <c r="A11" s="765" t="s">
        <v>1458</v>
      </c>
      <c r="B11" s="376">
        <v>0</v>
      </c>
      <c r="C11" s="376">
        <v>0</v>
      </c>
      <c r="D11" s="376">
        <v>77233</v>
      </c>
      <c r="E11" s="376">
        <v>77233</v>
      </c>
      <c r="F11" s="376">
        <f>'Fejlesztési kiadások'!E35+'Fejlesztési kiadások'!E36</f>
        <v>77233</v>
      </c>
      <c r="G11" s="376">
        <f>F11</f>
        <v>77233</v>
      </c>
    </row>
    <row r="12" spans="1:7" ht="27" customHeight="1">
      <c r="A12" s="765" t="s">
        <v>1457</v>
      </c>
      <c r="B12" s="376">
        <f>F12-D12</f>
        <v>21803</v>
      </c>
      <c r="C12" s="376">
        <f>G12-E12</f>
        <v>21803</v>
      </c>
      <c r="D12" s="376">
        <f>491325+10984</f>
        <v>502309</v>
      </c>
      <c r="E12" s="376">
        <f>491325+10984</f>
        <v>502309</v>
      </c>
      <c r="F12" s="376">
        <f>'Fejlesztési kiadások'!E38+'Fejlesztési kiadások'!E39</f>
        <v>524112</v>
      </c>
      <c r="G12" s="376">
        <f>F12</f>
        <v>524112</v>
      </c>
    </row>
    <row r="13" spans="1:7" ht="27" customHeight="1">
      <c r="A13" s="765" t="s">
        <v>1462</v>
      </c>
      <c r="B13" s="376">
        <v>9535</v>
      </c>
      <c r="C13" s="376">
        <v>9535</v>
      </c>
      <c r="D13" s="376">
        <f>F13-B13</f>
        <v>35316</v>
      </c>
      <c r="E13" s="376">
        <f>G13-C13</f>
        <v>35316</v>
      </c>
      <c r="F13" s="376">
        <f>'Fejlesztési kiadások'!E41+'Fejlesztési kiadások'!E42</f>
        <v>44851</v>
      </c>
      <c r="G13" s="376">
        <f>F13</f>
        <v>44851</v>
      </c>
    </row>
    <row r="14" spans="1:7" ht="27" customHeight="1">
      <c r="A14" s="765"/>
      <c r="B14" s="376"/>
      <c r="C14" s="376"/>
      <c r="D14" s="376"/>
      <c r="E14" s="376"/>
      <c r="F14" s="376"/>
      <c r="G14" s="376"/>
    </row>
    <row r="15" spans="1:7" s="97" customFormat="1" ht="27" customHeight="1">
      <c r="A15" s="758" t="s">
        <v>1389</v>
      </c>
      <c r="B15" s="887">
        <f aca="true" t="shared" si="2" ref="B15:G15">+B16+B17+B18+B21</f>
        <v>0</v>
      </c>
      <c r="C15" s="887">
        <f t="shared" si="2"/>
        <v>3302</v>
      </c>
      <c r="D15" s="887">
        <f t="shared" si="2"/>
        <v>5000</v>
      </c>
      <c r="E15" s="887">
        <f t="shared" si="2"/>
        <v>5000</v>
      </c>
      <c r="F15" s="887">
        <f t="shared" si="2"/>
        <v>5000</v>
      </c>
      <c r="G15" s="887">
        <f t="shared" si="2"/>
        <v>8302</v>
      </c>
    </row>
    <row r="16" spans="1:11" s="30" customFormat="1" ht="27" customHeight="1">
      <c r="A16" s="621" t="s">
        <v>1392</v>
      </c>
      <c r="B16" s="376">
        <v>0</v>
      </c>
      <c r="C16" s="376">
        <v>0</v>
      </c>
      <c r="D16" s="376">
        <v>0</v>
      </c>
      <c r="E16" s="376">
        <v>0</v>
      </c>
      <c r="F16" s="376">
        <v>0</v>
      </c>
      <c r="G16" s="376">
        <v>0</v>
      </c>
      <c r="K16" s="295"/>
    </row>
    <row r="17" spans="1:7" ht="27" customHeight="1">
      <c r="A17" s="621" t="s">
        <v>1391</v>
      </c>
      <c r="B17" s="376">
        <v>0</v>
      </c>
      <c r="C17" s="376">
        <v>0</v>
      </c>
      <c r="D17" s="376">
        <v>0</v>
      </c>
      <c r="E17" s="376">
        <v>0</v>
      </c>
      <c r="F17" s="376">
        <v>0</v>
      </c>
      <c r="G17" s="376">
        <v>0</v>
      </c>
    </row>
    <row r="18" spans="1:7" ht="27" customHeight="1">
      <c r="A18" s="621" t="s">
        <v>1390</v>
      </c>
      <c r="B18" s="376">
        <f>B19+B20</f>
        <v>0</v>
      </c>
      <c r="C18" s="376">
        <v>0</v>
      </c>
      <c r="D18" s="376">
        <f>D19+D20</f>
        <v>2249</v>
      </c>
      <c r="E18" s="376">
        <f>E19+E20</f>
        <v>2249</v>
      </c>
      <c r="F18" s="376">
        <f>F19+F20</f>
        <v>2249</v>
      </c>
      <c r="G18" s="376">
        <f>G19+G20</f>
        <v>2249</v>
      </c>
    </row>
    <row r="19" spans="1:7" ht="27" customHeight="1">
      <c r="A19" s="621" t="s">
        <v>1459</v>
      </c>
      <c r="B19" s="376">
        <f>F19-D19</f>
        <v>0</v>
      </c>
      <c r="C19" s="376">
        <v>0</v>
      </c>
      <c r="D19" s="376">
        <f>F19</f>
        <v>271</v>
      </c>
      <c r="E19" s="376">
        <f>G19</f>
        <v>271</v>
      </c>
      <c r="F19" s="376">
        <v>271</v>
      </c>
      <c r="G19" s="376">
        <f>F19</f>
        <v>271</v>
      </c>
    </row>
    <row r="20" spans="1:7" ht="27" customHeight="1">
      <c r="A20" s="621" t="s">
        <v>1460</v>
      </c>
      <c r="B20" s="376">
        <f>F20-D20</f>
        <v>0</v>
      </c>
      <c r="C20" s="376">
        <v>0</v>
      </c>
      <c r="D20" s="376">
        <f>F20</f>
        <v>1978</v>
      </c>
      <c r="E20" s="376">
        <f>G20</f>
        <v>1978</v>
      </c>
      <c r="F20" s="376">
        <v>1978</v>
      </c>
      <c r="G20" s="376">
        <v>1978</v>
      </c>
    </row>
    <row r="21" spans="1:7" ht="27" customHeight="1">
      <c r="A21" s="621" t="s">
        <v>1393</v>
      </c>
      <c r="B21" s="376">
        <f>B22</f>
        <v>0</v>
      </c>
      <c r="C21" s="376">
        <f>SUM(C22:C23)</f>
        <v>3302</v>
      </c>
      <c r="D21" s="376">
        <f>D22</f>
        <v>2751</v>
      </c>
      <c r="E21" s="376">
        <f>E22</f>
        <v>2751</v>
      </c>
      <c r="F21" s="376">
        <f>F22</f>
        <v>2751</v>
      </c>
      <c r="G21" s="376">
        <f>G22+G23</f>
        <v>6053</v>
      </c>
    </row>
    <row r="22" spans="1:7" ht="27" customHeight="1">
      <c r="A22" s="621" t="s">
        <v>1461</v>
      </c>
      <c r="B22" s="376">
        <f>F22-D22</f>
        <v>0</v>
      </c>
      <c r="C22" s="376">
        <v>0</v>
      </c>
      <c r="D22" s="376">
        <f>F22</f>
        <v>2751</v>
      </c>
      <c r="E22" s="376">
        <f>G22</f>
        <v>2751</v>
      </c>
      <c r="F22" s="376">
        <v>2751</v>
      </c>
      <c r="G22" s="376">
        <v>2751</v>
      </c>
    </row>
    <row r="23" spans="1:7" ht="27" customHeight="1">
      <c r="A23" s="621" t="s">
        <v>1543</v>
      </c>
      <c r="B23" s="376">
        <v>0</v>
      </c>
      <c r="C23" s="376">
        <v>3302</v>
      </c>
      <c r="D23" s="376">
        <v>0</v>
      </c>
      <c r="E23" s="376">
        <v>0</v>
      </c>
      <c r="F23" s="376">
        <v>0</v>
      </c>
      <c r="G23" s="376">
        <v>3302</v>
      </c>
    </row>
    <row r="24" spans="1:7" ht="36" customHeight="1">
      <c r="A24" s="133" t="s">
        <v>1394</v>
      </c>
      <c r="B24" s="343">
        <f aca="true" t="shared" si="3" ref="B24:G24">+B25+B26</f>
        <v>5080</v>
      </c>
      <c r="C24" s="343">
        <f t="shared" si="3"/>
        <v>7121</v>
      </c>
      <c r="D24" s="888">
        <f t="shared" si="3"/>
        <v>0</v>
      </c>
      <c r="E24" s="888">
        <f t="shared" si="3"/>
        <v>0</v>
      </c>
      <c r="F24" s="888">
        <f t="shared" si="3"/>
        <v>5080</v>
      </c>
      <c r="G24" s="888">
        <f t="shared" si="3"/>
        <v>7121</v>
      </c>
    </row>
    <row r="25" spans="1:7" ht="27" customHeight="1">
      <c r="A25" s="758" t="s">
        <v>1395</v>
      </c>
      <c r="B25" s="887">
        <v>0</v>
      </c>
      <c r="C25" s="887">
        <v>0</v>
      </c>
      <c r="D25" s="887">
        <v>0</v>
      </c>
      <c r="E25" s="887">
        <v>0</v>
      </c>
      <c r="F25" s="887">
        <v>0</v>
      </c>
      <c r="G25" s="887">
        <v>0</v>
      </c>
    </row>
    <row r="26" spans="1:7" ht="27" customHeight="1">
      <c r="A26" s="758" t="s">
        <v>1396</v>
      </c>
      <c r="B26" s="887">
        <f aca="true" t="shared" si="4" ref="B26:G26">SUM(B27:B28)</f>
        <v>5080</v>
      </c>
      <c r="C26" s="887">
        <f t="shared" si="4"/>
        <v>7121</v>
      </c>
      <c r="D26" s="887">
        <f t="shared" si="4"/>
        <v>0</v>
      </c>
      <c r="E26" s="887">
        <f t="shared" si="4"/>
        <v>0</v>
      </c>
      <c r="F26" s="887">
        <f t="shared" si="4"/>
        <v>5080</v>
      </c>
      <c r="G26" s="887">
        <f t="shared" si="4"/>
        <v>7121</v>
      </c>
    </row>
    <row r="27" spans="1:7" ht="27" customHeight="1">
      <c r="A27" s="621" t="s">
        <v>1219</v>
      </c>
      <c r="B27" s="376">
        <v>5080</v>
      </c>
      <c r="C27" s="376">
        <v>5080</v>
      </c>
      <c r="D27" s="376"/>
      <c r="E27" s="376"/>
      <c r="F27" s="376">
        <f>'Fejlesztési kiadások'!E25+'Fejlesztési kiadások'!E26</f>
        <v>5080</v>
      </c>
      <c r="G27" s="376">
        <f>F27</f>
        <v>5080</v>
      </c>
    </row>
    <row r="28" spans="1:7" ht="27" customHeight="1">
      <c r="A28" s="621" t="s">
        <v>1544</v>
      </c>
      <c r="B28" s="376">
        <v>0</v>
      </c>
      <c r="C28" s="376">
        <v>2041</v>
      </c>
      <c r="D28" s="376">
        <v>0</v>
      </c>
      <c r="E28" s="376">
        <v>0</v>
      </c>
      <c r="F28" s="376">
        <v>0</v>
      </c>
      <c r="G28" s="376">
        <v>2041</v>
      </c>
    </row>
    <row r="29" spans="1:7" s="30" customFormat="1" ht="27" customHeight="1">
      <c r="A29" s="133" t="s">
        <v>1397</v>
      </c>
      <c r="B29" s="343">
        <f aca="true" t="shared" si="5" ref="B29:G29">+B30+B32+B36+B37+B39+B41+B43+B44</f>
        <v>27048.714267716536</v>
      </c>
      <c r="C29" s="343">
        <f t="shared" si="5"/>
        <v>28086.714267716536</v>
      </c>
      <c r="D29" s="343">
        <f t="shared" si="5"/>
        <v>18153</v>
      </c>
      <c r="E29" s="343">
        <f t="shared" si="5"/>
        <v>18153</v>
      </c>
      <c r="F29" s="343">
        <f t="shared" si="5"/>
        <v>45201.71426771654</v>
      </c>
      <c r="G29" s="343">
        <f t="shared" si="5"/>
        <v>46239.71426771654</v>
      </c>
    </row>
    <row r="30" spans="1:7" s="30" customFormat="1" ht="27" customHeight="1">
      <c r="A30" s="758" t="s">
        <v>1398</v>
      </c>
      <c r="B30" s="341">
        <v>0</v>
      </c>
      <c r="C30" s="341">
        <f>C31</f>
        <v>750</v>
      </c>
      <c r="D30" s="341">
        <v>0</v>
      </c>
      <c r="E30" s="341">
        <v>0</v>
      </c>
      <c r="F30" s="341">
        <v>0</v>
      </c>
      <c r="G30" s="341">
        <f>G31</f>
        <v>750</v>
      </c>
    </row>
    <row r="31" spans="1:7" s="30" customFormat="1" ht="27" customHeight="1">
      <c r="A31" s="758" t="s">
        <v>1542</v>
      </c>
      <c r="B31" s="341">
        <v>0</v>
      </c>
      <c r="C31" s="341">
        <v>750</v>
      </c>
      <c r="D31" s="341">
        <v>0</v>
      </c>
      <c r="E31" s="341">
        <v>0</v>
      </c>
      <c r="F31" s="341">
        <v>0</v>
      </c>
      <c r="G31" s="341">
        <v>750</v>
      </c>
    </row>
    <row r="32" spans="1:7" ht="36.75" customHeight="1">
      <c r="A32" s="766" t="s">
        <v>1399</v>
      </c>
      <c r="B32" s="887">
        <f aca="true" t="shared" si="6" ref="B32:G32">SUM(B33:B35)</f>
        <v>1582</v>
      </c>
      <c r="C32" s="887">
        <f t="shared" si="6"/>
        <v>1870</v>
      </c>
      <c r="D32" s="887">
        <f t="shared" si="6"/>
        <v>0</v>
      </c>
      <c r="E32" s="887">
        <f t="shared" si="6"/>
        <v>0</v>
      </c>
      <c r="F32" s="887">
        <f t="shared" si="6"/>
        <v>1582</v>
      </c>
      <c r="G32" s="887">
        <f t="shared" si="6"/>
        <v>1870</v>
      </c>
    </row>
    <row r="33" spans="1:7" ht="27" customHeight="1">
      <c r="A33" s="621" t="s">
        <v>1220</v>
      </c>
      <c r="B33" s="376">
        <v>0</v>
      </c>
      <c r="C33" s="376">
        <v>0</v>
      </c>
      <c r="D33" s="376">
        <v>0</v>
      </c>
      <c r="E33" s="376">
        <v>0</v>
      </c>
      <c r="F33" s="376">
        <f>B33+D33</f>
        <v>0</v>
      </c>
      <c r="G33" s="376">
        <f>C33+E33</f>
        <v>0</v>
      </c>
    </row>
    <row r="34" spans="1:9" ht="27" customHeight="1">
      <c r="A34" s="621" t="s">
        <v>1221</v>
      </c>
      <c r="B34" s="376">
        <f>'Fejlesztési kiadások'!E60</f>
        <v>1582</v>
      </c>
      <c r="C34" s="376">
        <f>B34</f>
        <v>1582</v>
      </c>
      <c r="D34" s="376">
        <v>0</v>
      </c>
      <c r="E34" s="376">
        <v>0</v>
      </c>
      <c r="F34" s="376">
        <f>B34+D34</f>
        <v>1582</v>
      </c>
      <c r="G34" s="376">
        <f>C34+E34</f>
        <v>1582</v>
      </c>
      <c r="H34" s="377"/>
      <c r="I34" s="378"/>
    </row>
    <row r="35" spans="1:9" ht="27" customHeight="1">
      <c r="A35" s="621" t="s">
        <v>1545</v>
      </c>
      <c r="B35" s="376">
        <v>0</v>
      </c>
      <c r="C35" s="376">
        <v>288</v>
      </c>
      <c r="D35" s="376">
        <v>0</v>
      </c>
      <c r="E35" s="376">
        <v>0</v>
      </c>
      <c r="F35" s="376">
        <v>0</v>
      </c>
      <c r="G35" s="376">
        <v>288</v>
      </c>
      <c r="H35" s="377"/>
      <c r="I35" s="378"/>
    </row>
    <row r="36" spans="1:9" ht="40.5" customHeight="1">
      <c r="A36" s="766" t="s">
        <v>1400</v>
      </c>
      <c r="B36" s="341">
        <v>0</v>
      </c>
      <c r="C36" s="341">
        <v>0</v>
      </c>
      <c r="D36" s="341">
        <v>0</v>
      </c>
      <c r="E36" s="341">
        <v>0</v>
      </c>
      <c r="F36" s="341">
        <v>0</v>
      </c>
      <c r="G36" s="341">
        <v>0</v>
      </c>
      <c r="H36" s="377"/>
      <c r="I36" s="378"/>
    </row>
    <row r="37" spans="1:9" ht="27" customHeight="1">
      <c r="A37" s="758" t="s">
        <v>695</v>
      </c>
      <c r="B37" s="889">
        <f>B38</f>
        <v>6425.714267716536</v>
      </c>
      <c r="C37" s="889">
        <f>C38</f>
        <v>6425.714267716536</v>
      </c>
      <c r="D37" s="889">
        <f>D38</f>
        <v>0</v>
      </c>
      <c r="E37" s="889">
        <f>E38</f>
        <v>0</v>
      </c>
      <c r="F37" s="889">
        <f aca="true" t="shared" si="7" ref="F37:G42">B37+D37</f>
        <v>6425.714267716536</v>
      </c>
      <c r="G37" s="889">
        <f t="shared" si="7"/>
        <v>6425.714267716536</v>
      </c>
      <c r="H37" s="294"/>
      <c r="I37" s="102"/>
    </row>
    <row r="38" spans="1:9" ht="27" customHeight="1">
      <c r="A38" s="310" t="s">
        <v>316</v>
      </c>
      <c r="B38" s="218">
        <f>'Fejlesztési kiadások'!F91+'Fejlesztési kiadások'!E92</f>
        <v>6425.714267716536</v>
      </c>
      <c r="C38" s="218">
        <f>B38</f>
        <v>6425.714267716536</v>
      </c>
      <c r="D38" s="218">
        <v>0</v>
      </c>
      <c r="E38" s="218">
        <v>0</v>
      </c>
      <c r="F38" s="339">
        <f t="shared" si="7"/>
        <v>6425.714267716536</v>
      </c>
      <c r="G38" s="339">
        <f t="shared" si="7"/>
        <v>6425.714267716536</v>
      </c>
      <c r="H38" s="294"/>
      <c r="I38" s="102"/>
    </row>
    <row r="39" spans="1:9" ht="27" customHeight="1">
      <c r="A39" s="758" t="s">
        <v>1402</v>
      </c>
      <c r="B39" s="889">
        <f>B40</f>
        <v>5500</v>
      </c>
      <c r="C39" s="889">
        <f>C40</f>
        <v>5500</v>
      </c>
      <c r="D39" s="889">
        <v>0</v>
      </c>
      <c r="E39" s="889">
        <v>0</v>
      </c>
      <c r="F39" s="889">
        <f t="shared" si="7"/>
        <v>5500</v>
      </c>
      <c r="G39" s="889">
        <f t="shared" si="7"/>
        <v>5500</v>
      </c>
      <c r="H39" s="294"/>
      <c r="I39" s="102"/>
    </row>
    <row r="40" spans="1:9" ht="27" customHeight="1">
      <c r="A40" s="310" t="s">
        <v>318</v>
      </c>
      <c r="B40" s="218">
        <v>5500</v>
      </c>
      <c r="C40" s="218">
        <f>B40</f>
        <v>5500</v>
      </c>
      <c r="D40" s="218">
        <v>0</v>
      </c>
      <c r="E40" s="218">
        <v>0</v>
      </c>
      <c r="F40" s="339">
        <f>'Fejlesztési kiadások'!E98+'Fejlesztési kiadások'!E97</f>
        <v>5500.1</v>
      </c>
      <c r="G40" s="339">
        <f>F40</f>
        <v>5500.1</v>
      </c>
      <c r="H40" s="294"/>
      <c r="I40" s="102"/>
    </row>
    <row r="41" spans="1:7" ht="27" customHeight="1">
      <c r="A41" s="758" t="s">
        <v>1404</v>
      </c>
      <c r="B41" s="889">
        <f>B42</f>
        <v>4050</v>
      </c>
      <c r="C41" s="889">
        <f>C42</f>
        <v>4050</v>
      </c>
      <c r="D41" s="339">
        <v>0</v>
      </c>
      <c r="E41" s="339">
        <v>0</v>
      </c>
      <c r="F41" s="889">
        <f t="shared" si="7"/>
        <v>4050</v>
      </c>
      <c r="G41" s="889">
        <f t="shared" si="7"/>
        <v>4050</v>
      </c>
    </row>
    <row r="42" spans="1:7" ht="27" customHeight="1">
      <c r="A42" s="310" t="s">
        <v>358</v>
      </c>
      <c r="B42" s="218">
        <v>4050</v>
      </c>
      <c r="C42" s="218">
        <v>4050</v>
      </c>
      <c r="D42" s="218">
        <v>0</v>
      </c>
      <c r="E42" s="218">
        <v>0</v>
      </c>
      <c r="F42" s="218">
        <f t="shared" si="7"/>
        <v>4050</v>
      </c>
      <c r="G42" s="218">
        <f t="shared" si="7"/>
        <v>4050</v>
      </c>
    </row>
    <row r="43" spans="1:7" ht="27" customHeight="1">
      <c r="A43" s="758" t="s">
        <v>882</v>
      </c>
      <c r="B43" s="218">
        <v>9491</v>
      </c>
      <c r="C43" s="218">
        <v>9491</v>
      </c>
      <c r="D43" s="218">
        <v>0</v>
      </c>
      <c r="E43" s="218">
        <v>0</v>
      </c>
      <c r="F43" s="218">
        <v>9491</v>
      </c>
      <c r="G43" s="218">
        <v>9491</v>
      </c>
    </row>
    <row r="44" spans="1:7" ht="27" customHeight="1">
      <c r="A44" s="758" t="s">
        <v>1333</v>
      </c>
      <c r="B44" s="218">
        <v>0</v>
      </c>
      <c r="C44" s="218">
        <v>0</v>
      </c>
      <c r="D44" s="218">
        <f>F44</f>
        <v>18153</v>
      </c>
      <c r="E44" s="218">
        <f>G44</f>
        <v>18153</v>
      </c>
      <c r="F44" s="218">
        <f>17549+604</f>
        <v>18153</v>
      </c>
      <c r="G44" s="218">
        <f>17549+604</f>
        <v>18153</v>
      </c>
    </row>
    <row r="45" spans="1:11" ht="27" customHeight="1">
      <c r="A45" s="133" t="s">
        <v>694</v>
      </c>
      <c r="B45" s="343">
        <f>B56+B58</f>
        <v>29024.1065</v>
      </c>
      <c r="C45" s="343">
        <f>C56+C58</f>
        <v>29024.1065</v>
      </c>
      <c r="D45" s="343">
        <v>0</v>
      </c>
      <c r="E45" s="343">
        <v>0</v>
      </c>
      <c r="F45" s="343">
        <f>F56+F58</f>
        <v>29024.1065</v>
      </c>
      <c r="G45" s="343">
        <f>G56+G58</f>
        <v>29024.1065</v>
      </c>
      <c r="H45" s="401" t="s">
        <v>311</v>
      </c>
      <c r="I45" s="401" t="s">
        <v>312</v>
      </c>
      <c r="J45" s="401" t="s">
        <v>1227</v>
      </c>
      <c r="K45" s="99" t="s">
        <v>481</v>
      </c>
    </row>
    <row r="46" spans="1:11" ht="33" customHeight="1">
      <c r="A46" s="371" t="s">
        <v>313</v>
      </c>
      <c r="B46" s="376">
        <f>'Fejlesztési kiadások'!E67+'Fejlesztési kiadások'!E78</f>
        <v>5655.896500000001</v>
      </c>
      <c r="C46" s="376">
        <f>B46</f>
        <v>5655.896500000001</v>
      </c>
      <c r="D46" s="376">
        <v>0</v>
      </c>
      <c r="E46" s="376">
        <v>0</v>
      </c>
      <c r="F46" s="376">
        <f>B46</f>
        <v>5655.896500000001</v>
      </c>
      <c r="G46" s="376">
        <f>C46</f>
        <v>5655.896500000001</v>
      </c>
      <c r="H46" s="217">
        <v>2112</v>
      </c>
      <c r="I46" s="376">
        <f>33366*0.068</f>
        <v>2268.8880000000004</v>
      </c>
      <c r="J46" s="217">
        <f aca="true" t="shared" si="8" ref="J46:J53">H46+I46</f>
        <v>4380.888000000001</v>
      </c>
      <c r="K46" s="310" t="s">
        <v>396</v>
      </c>
    </row>
    <row r="47" spans="1:11" ht="27" customHeight="1">
      <c r="A47" s="311" t="s">
        <v>314</v>
      </c>
      <c r="B47" s="376">
        <f>'Fejlesztési kiadások'!E68+'Fejlesztési kiadások'!E79</f>
        <v>13661.434000000001</v>
      </c>
      <c r="C47" s="376">
        <f aca="true" t="shared" si="9" ref="C47:C55">B47</f>
        <v>13661.434000000001</v>
      </c>
      <c r="D47" s="376">
        <v>0</v>
      </c>
      <c r="E47" s="376">
        <v>0</v>
      </c>
      <c r="F47" s="376">
        <f aca="true" t="shared" si="10" ref="F47:G55">B47</f>
        <v>13661.434000000001</v>
      </c>
      <c r="G47" s="376">
        <f t="shared" si="10"/>
        <v>13661.434000000001</v>
      </c>
      <c r="H47" s="217">
        <v>6456</v>
      </c>
      <c r="I47" s="218">
        <f>76396*0.0653</f>
        <v>4988.6588</v>
      </c>
      <c r="J47" s="217">
        <f t="shared" si="8"/>
        <v>11444.658800000001</v>
      </c>
      <c r="K47" s="404" t="s">
        <v>397</v>
      </c>
    </row>
    <row r="48" spans="1:12" ht="27" customHeight="1">
      <c r="A48" s="311" t="s">
        <v>315</v>
      </c>
      <c r="B48" s="376">
        <f>'Fejlesztési kiadások'!E69+'Fejlesztési kiadások'!E80</f>
        <v>1663.46</v>
      </c>
      <c r="C48" s="376">
        <f t="shared" si="9"/>
        <v>1663.46</v>
      </c>
      <c r="D48" s="376">
        <v>0</v>
      </c>
      <c r="E48" s="376">
        <v>0</v>
      </c>
      <c r="F48" s="376">
        <f t="shared" si="10"/>
        <v>1663.46</v>
      </c>
      <c r="G48" s="376">
        <f t="shared" si="10"/>
        <v>1663.46</v>
      </c>
      <c r="H48" s="217">
        <v>1040</v>
      </c>
      <c r="I48" s="218">
        <f>12470*0.1</f>
        <v>1247</v>
      </c>
      <c r="J48" s="217">
        <f t="shared" si="8"/>
        <v>2287</v>
      </c>
      <c r="K48" s="310" t="s">
        <v>398</v>
      </c>
      <c r="L48" s="1107"/>
    </row>
    <row r="49" spans="1:12" s="611" customFormat="1" ht="22.5" customHeight="1" hidden="1">
      <c r="A49" s="654" t="s">
        <v>676</v>
      </c>
      <c r="B49" s="376">
        <v>0</v>
      </c>
      <c r="C49" s="376">
        <f t="shared" si="9"/>
        <v>0</v>
      </c>
      <c r="D49" s="376">
        <v>0</v>
      </c>
      <c r="E49" s="376"/>
      <c r="F49" s="376">
        <v>0</v>
      </c>
      <c r="H49" s="608">
        <v>384</v>
      </c>
      <c r="I49" s="608">
        <f>6318*0.087</f>
        <v>549.6659999999999</v>
      </c>
      <c r="J49" s="608">
        <f t="shared" si="8"/>
        <v>933.6659999999999</v>
      </c>
      <c r="K49" s="609" t="s">
        <v>324</v>
      </c>
      <c r="L49" s="610">
        <v>0.707</v>
      </c>
    </row>
    <row r="50" spans="1:15" ht="27" customHeight="1">
      <c r="A50" s="311" t="s">
        <v>679</v>
      </c>
      <c r="B50" s="376">
        <f>'Fejlesztési kiadások'!E71+'Fejlesztési kiadások'!E82</f>
        <v>848.9639999999999</v>
      </c>
      <c r="C50" s="376">
        <f t="shared" si="9"/>
        <v>848.9639999999999</v>
      </c>
      <c r="D50" s="376">
        <v>0</v>
      </c>
      <c r="E50" s="376">
        <v>0</v>
      </c>
      <c r="F50" s="376">
        <f t="shared" si="10"/>
        <v>848.9639999999999</v>
      </c>
      <c r="G50" s="376">
        <f t="shared" si="10"/>
        <v>848.9639999999999</v>
      </c>
      <c r="H50" s="218">
        <v>808</v>
      </c>
      <c r="I50" s="218">
        <f>2420*0.087</f>
        <v>210.54</v>
      </c>
      <c r="J50" s="217">
        <f t="shared" si="8"/>
        <v>1018.54</v>
      </c>
      <c r="K50" s="404" t="s">
        <v>325</v>
      </c>
      <c r="L50" s="378"/>
      <c r="M50" s="378"/>
      <c r="N50" s="378"/>
      <c r="O50" s="378"/>
    </row>
    <row r="51" spans="1:15" ht="27" customHeight="1">
      <c r="A51" s="311" t="s">
        <v>671</v>
      </c>
      <c r="B51" s="376">
        <f>'Fejlesztési kiadások'!E72+'Fejlesztési kiadások'!E83</f>
        <v>1556.104</v>
      </c>
      <c r="C51" s="376">
        <f t="shared" si="9"/>
        <v>1556.104</v>
      </c>
      <c r="D51" s="376">
        <v>0</v>
      </c>
      <c r="E51" s="376">
        <v>0</v>
      </c>
      <c r="F51" s="376">
        <f t="shared" si="10"/>
        <v>1556.104</v>
      </c>
      <c r="G51" s="376">
        <f t="shared" si="10"/>
        <v>1556.104</v>
      </c>
      <c r="H51" s="218">
        <v>1496</v>
      </c>
      <c r="I51" s="218">
        <f>4357*0.087</f>
        <v>379.05899999999997</v>
      </c>
      <c r="J51" s="217">
        <f t="shared" si="8"/>
        <v>1875.059</v>
      </c>
      <c r="K51" s="404" t="s">
        <v>325</v>
      </c>
      <c r="L51" s="378"/>
      <c r="M51" s="378"/>
      <c r="N51" s="378"/>
      <c r="O51" s="378"/>
    </row>
    <row r="52" spans="1:15" ht="27" customHeight="1">
      <c r="A52" s="311" t="s">
        <v>672</v>
      </c>
      <c r="B52" s="376">
        <f>'Fejlesztési kiadások'!E73+'Fejlesztési kiadások'!E84</f>
        <v>3477.004</v>
      </c>
      <c r="C52" s="376">
        <f t="shared" si="9"/>
        <v>3477.004</v>
      </c>
      <c r="D52" s="376">
        <v>0</v>
      </c>
      <c r="E52" s="376">
        <v>0</v>
      </c>
      <c r="F52" s="376">
        <f t="shared" si="10"/>
        <v>3477.004</v>
      </c>
      <c r="G52" s="376">
        <f t="shared" si="10"/>
        <v>3477.004</v>
      </c>
      <c r="H52" s="218">
        <v>1502</v>
      </c>
      <c r="I52" s="218">
        <f>15768*0.085</f>
        <v>1340.2800000000002</v>
      </c>
      <c r="J52" s="217">
        <f t="shared" si="8"/>
        <v>2842.28</v>
      </c>
      <c r="K52" s="404" t="s">
        <v>326</v>
      </c>
      <c r="L52" s="378"/>
      <c r="M52" s="378"/>
      <c r="N52" s="378"/>
      <c r="O52" s="378"/>
    </row>
    <row r="53" spans="1:15" ht="27" customHeight="1">
      <c r="A53" s="311" t="s">
        <v>673</v>
      </c>
      <c r="B53" s="376">
        <f>'Fejlesztési kiadások'!E85+'Fejlesztési kiadások'!E74</f>
        <v>1065.336</v>
      </c>
      <c r="C53" s="376">
        <f t="shared" si="9"/>
        <v>1065.336</v>
      </c>
      <c r="D53" s="376">
        <v>0</v>
      </c>
      <c r="E53" s="376">
        <v>0</v>
      </c>
      <c r="F53" s="376">
        <f t="shared" si="10"/>
        <v>1065.336</v>
      </c>
      <c r="G53" s="376">
        <f t="shared" si="10"/>
        <v>1065.336</v>
      </c>
      <c r="H53" s="218">
        <v>642</v>
      </c>
      <c r="I53" s="218">
        <f>5706*0.095</f>
        <v>542.07</v>
      </c>
      <c r="J53" s="217">
        <f t="shared" si="8"/>
        <v>1184.0700000000002</v>
      </c>
      <c r="K53" s="404" t="s">
        <v>327</v>
      </c>
      <c r="L53" s="378"/>
      <c r="M53" s="378"/>
      <c r="N53" s="378"/>
      <c r="O53" s="378"/>
    </row>
    <row r="54" spans="1:15" ht="27" customHeight="1">
      <c r="A54" s="311" t="s">
        <v>674</v>
      </c>
      <c r="B54" s="376">
        <f>'Fejlesztési kiadások'!E75+'Fejlesztési kiadások'!E86</f>
        <v>423.36</v>
      </c>
      <c r="C54" s="376">
        <f t="shared" si="9"/>
        <v>423.36</v>
      </c>
      <c r="D54" s="376">
        <v>0</v>
      </c>
      <c r="E54" s="376">
        <v>0</v>
      </c>
      <c r="F54" s="376">
        <f>B54</f>
        <v>423.36</v>
      </c>
      <c r="G54" s="376">
        <f>C54</f>
        <v>423.36</v>
      </c>
      <c r="H54" s="218"/>
      <c r="I54" s="218"/>
      <c r="J54" s="217"/>
      <c r="K54" s="404"/>
      <c r="L54" s="378"/>
      <c r="M54" s="378"/>
      <c r="N54" s="378"/>
      <c r="O54" s="378"/>
    </row>
    <row r="55" spans="1:15" ht="32.25" customHeight="1">
      <c r="A55" s="856" t="s">
        <v>675</v>
      </c>
      <c r="B55" s="376">
        <f>'Fejlesztési kiadások'!E81+'Fejlesztési kiadások'!E70</f>
        <v>672.548</v>
      </c>
      <c r="C55" s="376">
        <f t="shared" si="9"/>
        <v>672.548</v>
      </c>
      <c r="D55" s="376">
        <v>0</v>
      </c>
      <c r="E55" s="376">
        <v>0</v>
      </c>
      <c r="F55" s="376">
        <f t="shared" si="10"/>
        <v>672.548</v>
      </c>
      <c r="G55" s="376">
        <f t="shared" si="10"/>
        <v>672.548</v>
      </c>
      <c r="H55" s="218"/>
      <c r="I55" s="218"/>
      <c r="J55" s="217"/>
      <c r="K55" s="404"/>
      <c r="L55" s="378"/>
      <c r="M55" s="378"/>
      <c r="N55" s="378"/>
      <c r="O55" s="378"/>
    </row>
    <row r="56" spans="1:11" s="30" customFormat="1" ht="27" customHeight="1">
      <c r="A56" s="403" t="s">
        <v>359</v>
      </c>
      <c r="B56" s="887">
        <f>SUM(B46:B55)</f>
        <v>29024.1065</v>
      </c>
      <c r="C56" s="887">
        <f>SUM(C46:C55)</f>
        <v>29024.1065</v>
      </c>
      <c r="D56" s="887">
        <v>0</v>
      </c>
      <c r="E56" s="887">
        <v>0</v>
      </c>
      <c r="F56" s="887">
        <f>SUM(F46:F55)</f>
        <v>29024.1065</v>
      </c>
      <c r="G56" s="887">
        <f>SUM(G46:G55)</f>
        <v>29024.1065</v>
      </c>
      <c r="H56" s="342">
        <f>SUM(H46:H55)</f>
        <v>14440</v>
      </c>
      <c r="I56" s="342">
        <f>SUM(I46:I55)</f>
        <v>11526.1618</v>
      </c>
      <c r="J56" s="342">
        <f>SUM(J46:J55)</f>
        <v>25966.161800000005</v>
      </c>
      <c r="K56" s="338"/>
    </row>
    <row r="57" spans="1:11" ht="27" customHeight="1">
      <c r="A57" s="310"/>
      <c r="B57" s="380">
        <v>0</v>
      </c>
      <c r="C57" s="380">
        <v>0</v>
      </c>
      <c r="D57" s="380">
        <v>0</v>
      </c>
      <c r="E57" s="380">
        <v>0</v>
      </c>
      <c r="F57" s="380">
        <f>B57</f>
        <v>0</v>
      </c>
      <c r="G57" s="380">
        <f>C57</f>
        <v>0</v>
      </c>
      <c r="H57" s="380">
        <v>32700</v>
      </c>
      <c r="I57" s="380">
        <f>+H57*0.0925</f>
        <v>3024.75</v>
      </c>
      <c r="J57" s="380">
        <f>H57+I57</f>
        <v>35724.75</v>
      </c>
      <c r="K57" s="404" t="s">
        <v>468</v>
      </c>
    </row>
    <row r="58" spans="1:11" s="30" customFormat="1" ht="40.5" customHeight="1">
      <c r="A58" s="411" t="s">
        <v>678</v>
      </c>
      <c r="B58" s="342">
        <f>+B57</f>
        <v>0</v>
      </c>
      <c r="C58" s="342">
        <f>+C57</f>
        <v>0</v>
      </c>
      <c r="D58" s="342">
        <v>0</v>
      </c>
      <c r="E58" s="342">
        <v>0</v>
      </c>
      <c r="F58" s="342">
        <f>B58</f>
        <v>0</v>
      </c>
      <c r="G58" s="342">
        <f>C58</f>
        <v>0</v>
      </c>
      <c r="H58" s="342">
        <f>+H57</f>
        <v>32700</v>
      </c>
      <c r="I58" s="342">
        <f>+I57</f>
        <v>3024.75</v>
      </c>
      <c r="J58" s="342">
        <f>+J57</f>
        <v>35724.75</v>
      </c>
      <c r="K58" s="338"/>
    </row>
    <row r="59" spans="1:7" ht="27" customHeight="1">
      <c r="A59" s="338" t="s">
        <v>1401</v>
      </c>
      <c r="B59" s="216">
        <f>F59-D59</f>
        <v>200</v>
      </c>
      <c r="C59" s="216">
        <f>G59-E59</f>
        <v>200</v>
      </c>
      <c r="D59" s="338">
        <v>0</v>
      </c>
      <c r="E59" s="338">
        <v>0</v>
      </c>
      <c r="F59" s="216">
        <f>SUM(F60:F61)</f>
        <v>200</v>
      </c>
      <c r="G59" s="216">
        <f>SUM(G60:G61)</f>
        <v>200</v>
      </c>
    </row>
    <row r="60" spans="1:7" ht="27" customHeight="1">
      <c r="A60" s="310" t="s">
        <v>1364</v>
      </c>
      <c r="B60" s="237"/>
      <c r="C60" s="237"/>
      <c r="D60" s="310"/>
      <c r="E60" s="310"/>
      <c r="F60" s="217">
        <v>100</v>
      </c>
      <c r="G60" s="217">
        <v>100</v>
      </c>
    </row>
    <row r="61" spans="1:7" ht="27" customHeight="1">
      <c r="A61" s="311" t="s">
        <v>1365</v>
      </c>
      <c r="B61" s="237"/>
      <c r="C61" s="237"/>
      <c r="D61" s="310"/>
      <c r="E61" s="310"/>
      <c r="F61" s="217">
        <f>5m!B20</f>
        <v>100</v>
      </c>
      <c r="G61" s="217">
        <f>F61</f>
        <v>100</v>
      </c>
    </row>
    <row r="62" spans="1:9" ht="27" customHeight="1">
      <c r="A62" s="338" t="s">
        <v>320</v>
      </c>
      <c r="B62" s="216">
        <f aca="true" t="shared" si="11" ref="B62:G62">+B8+B24+B29+B45+B59</f>
        <v>103470.82076771653</v>
      </c>
      <c r="C62" s="216">
        <f t="shared" si="11"/>
        <v>109851.82076771653</v>
      </c>
      <c r="D62" s="216">
        <f t="shared" si="11"/>
        <v>729371</v>
      </c>
      <c r="E62" s="216">
        <f t="shared" si="11"/>
        <v>729371</v>
      </c>
      <c r="F62" s="216">
        <f t="shared" si="11"/>
        <v>832841.8207677165</v>
      </c>
      <c r="G62" s="216">
        <f t="shared" si="11"/>
        <v>839222.8207677165</v>
      </c>
      <c r="I62" s="98">
        <f>+F62-F59</f>
        <v>832641.8207677165</v>
      </c>
    </row>
    <row r="63" spans="1:6" ht="27" customHeight="1">
      <c r="A63" s="91" t="s">
        <v>817</v>
      </c>
      <c r="F63" s="102">
        <f>4am!B49-4bm!F62</f>
        <v>0.6431322834687307</v>
      </c>
    </row>
    <row r="64" ht="27" customHeight="1">
      <c r="F64" s="101"/>
    </row>
    <row r="65" ht="27" customHeight="1">
      <c r="F65" s="102"/>
    </row>
    <row r="66" ht="27" customHeight="1">
      <c r="F66" s="101"/>
    </row>
    <row r="67" ht="27" customHeight="1">
      <c r="F67" s="101"/>
    </row>
    <row r="68" ht="27" customHeight="1">
      <c r="F68" s="101"/>
    </row>
    <row r="69" ht="27" customHeight="1">
      <c r="F69" s="101"/>
    </row>
    <row r="70" ht="27" customHeight="1">
      <c r="F70" s="101"/>
    </row>
    <row r="71" ht="27" customHeight="1">
      <c r="F71" s="101"/>
    </row>
    <row r="72" ht="27" customHeight="1">
      <c r="F72" s="101"/>
    </row>
    <row r="73" ht="27" customHeight="1">
      <c r="F73" s="101"/>
    </row>
    <row r="74" ht="27" customHeight="1">
      <c r="F74" s="101"/>
    </row>
    <row r="75" ht="27" customHeight="1">
      <c r="F75" s="101"/>
    </row>
    <row r="76" ht="27" customHeight="1">
      <c r="F76" s="101"/>
    </row>
    <row r="77" ht="27" customHeight="1">
      <c r="F77" s="101"/>
    </row>
    <row r="78" ht="27" customHeight="1">
      <c r="F78" s="101"/>
    </row>
    <row r="79" ht="27" customHeight="1">
      <c r="F79" s="101"/>
    </row>
    <row r="80" ht="27" customHeight="1">
      <c r="F80" s="101"/>
    </row>
    <row r="81" ht="27" customHeight="1">
      <c r="F81" s="101"/>
    </row>
    <row r="82" ht="27" customHeight="1">
      <c r="F82" s="101"/>
    </row>
    <row r="83" ht="27" customHeight="1">
      <c r="F83" s="101"/>
    </row>
    <row r="84" ht="27" customHeight="1">
      <c r="F84" s="101"/>
    </row>
    <row r="85" ht="27" customHeight="1">
      <c r="F85" s="101"/>
    </row>
    <row r="86" ht="27" customHeight="1">
      <c r="F86" s="101"/>
    </row>
    <row r="87" ht="27" customHeight="1">
      <c r="F87" s="101"/>
    </row>
    <row r="88" ht="27" customHeight="1">
      <c r="F88" s="101"/>
    </row>
    <row r="89" ht="27" customHeight="1">
      <c r="F89" s="101"/>
    </row>
    <row r="90" ht="27" customHeight="1">
      <c r="F90" s="101"/>
    </row>
    <row r="91" ht="27" customHeight="1">
      <c r="F91" s="101"/>
    </row>
    <row r="92" ht="27" customHeight="1">
      <c r="F92" s="101"/>
    </row>
    <row r="93" ht="27" customHeight="1">
      <c r="F93" s="101"/>
    </row>
    <row r="94" ht="27" customHeight="1">
      <c r="F94" s="101"/>
    </row>
    <row r="95" ht="27" customHeight="1">
      <c r="F95" s="101"/>
    </row>
    <row r="96" ht="27" customHeight="1">
      <c r="F96" s="101"/>
    </row>
    <row r="97" ht="27" customHeight="1">
      <c r="F97" s="101"/>
    </row>
    <row r="98" ht="27" customHeight="1">
      <c r="F98" s="101"/>
    </row>
    <row r="99" ht="27" customHeight="1">
      <c r="F99" s="101"/>
    </row>
    <row r="100" ht="27" customHeight="1">
      <c r="F100" s="101"/>
    </row>
    <row r="101" ht="27" customHeight="1">
      <c r="F101" s="101"/>
    </row>
    <row r="102" ht="27" customHeight="1">
      <c r="F102" s="101"/>
    </row>
    <row r="103" ht="27" customHeight="1">
      <c r="F103" s="101"/>
    </row>
    <row r="104" ht="27" customHeight="1">
      <c r="F104" s="101"/>
    </row>
    <row r="105" ht="27" customHeight="1">
      <c r="F105" s="101"/>
    </row>
    <row r="106" ht="27" customHeight="1">
      <c r="F106" s="101"/>
    </row>
    <row r="107" ht="27" customHeight="1">
      <c r="F107" s="101"/>
    </row>
    <row r="108" ht="27" customHeight="1">
      <c r="F108" s="101"/>
    </row>
    <row r="109" ht="27" customHeight="1">
      <c r="F109" s="101"/>
    </row>
    <row r="110" ht="27" customHeight="1">
      <c r="F110" s="101"/>
    </row>
    <row r="111" ht="27" customHeight="1">
      <c r="F111" s="101"/>
    </row>
    <row r="112" ht="27" customHeight="1">
      <c r="F112" s="101"/>
    </row>
    <row r="113" ht="27" customHeight="1">
      <c r="F113" s="101"/>
    </row>
  </sheetData>
  <sheetProtection/>
  <mergeCells count="5">
    <mergeCell ref="A4:F4"/>
    <mergeCell ref="A2:F2"/>
    <mergeCell ref="B6:C6"/>
    <mergeCell ref="D6:E6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C23"/>
  <sheetViews>
    <sheetView view="pageBreakPreview" zoomScaleSheetLayoutView="100" zoomScalePageLayoutView="0" workbookViewId="0" topLeftCell="A1">
      <selection activeCell="A17" sqref="A17:C17"/>
    </sheetView>
  </sheetViews>
  <sheetFormatPr defaultColWidth="9.140625" defaultRowHeight="12.75"/>
  <cols>
    <col min="1" max="1" width="48.7109375" style="0" customWidth="1"/>
    <col min="2" max="2" width="17.8515625" style="0" customWidth="1"/>
    <col min="3" max="3" width="11.421875" style="0" hidden="1" customWidth="1"/>
  </cols>
  <sheetData>
    <row r="1" spans="1:3" ht="12.75">
      <c r="A1" s="25"/>
      <c r="B1" s="1162" t="s">
        <v>550</v>
      </c>
      <c r="C1" s="1162"/>
    </row>
    <row r="2" spans="1:3" ht="12.75">
      <c r="A2" s="25"/>
      <c r="B2" s="25"/>
      <c r="C2" s="10"/>
    </row>
    <row r="3" spans="1:3" ht="12.75">
      <c r="A3" s="1133" t="s">
        <v>1518</v>
      </c>
      <c r="B3" s="1133"/>
      <c r="C3" s="32"/>
    </row>
    <row r="4" spans="1:3" ht="12.75">
      <c r="A4" s="25"/>
      <c r="B4" s="25"/>
      <c r="C4" s="25"/>
    </row>
    <row r="5" spans="1:3" ht="12.75">
      <c r="A5" s="25"/>
      <c r="B5" s="25"/>
      <c r="C5" s="25"/>
    </row>
    <row r="6" spans="1:3" ht="18">
      <c r="A6" s="1186" t="s">
        <v>321</v>
      </c>
      <c r="B6" s="1186"/>
      <c r="C6" s="143"/>
    </row>
    <row r="7" spans="1:3" ht="18">
      <c r="A7" s="1186" t="s">
        <v>890</v>
      </c>
      <c r="B7" s="1186"/>
      <c r="C7" s="143"/>
    </row>
    <row r="8" spans="1:3" ht="18.75">
      <c r="A8" s="222"/>
      <c r="B8" s="222"/>
      <c r="C8" s="222"/>
    </row>
    <row r="9" spans="1:3" ht="18.75">
      <c r="A9" s="222"/>
      <c r="B9" s="222"/>
      <c r="C9" s="222"/>
    </row>
    <row r="10" spans="1:3" ht="18.75">
      <c r="A10" s="222"/>
      <c r="B10" s="222"/>
      <c r="C10" s="222"/>
    </row>
    <row r="11" spans="1:3" ht="12.75">
      <c r="A11" s="211"/>
      <c r="B11" s="211"/>
      <c r="C11" s="211"/>
    </row>
    <row r="12" spans="1:3" ht="12.75">
      <c r="A12" s="211"/>
      <c r="B12" s="1202" t="s">
        <v>161</v>
      </c>
      <c r="C12" s="1202"/>
    </row>
    <row r="13" spans="1:3" ht="31.5">
      <c r="A13" s="224" t="s">
        <v>1037</v>
      </c>
      <c r="B13" s="225" t="s">
        <v>160</v>
      </c>
      <c r="C13" s="226" t="s">
        <v>280</v>
      </c>
    </row>
    <row r="14" spans="1:3" ht="15.75">
      <c r="A14" s="227" t="s">
        <v>1248</v>
      </c>
      <c r="B14" s="228">
        <f>SUM(B15:B16)</f>
        <v>200</v>
      </c>
      <c r="C14" s="229">
        <f>SUM(C16)</f>
        <v>0</v>
      </c>
    </row>
    <row r="15" spans="1:3" ht="15.75">
      <c r="A15" s="230" t="s">
        <v>814</v>
      </c>
      <c r="B15" s="228">
        <v>100</v>
      </c>
      <c r="C15" s="231"/>
    </row>
    <row r="16" spans="1:3" ht="15.75">
      <c r="A16" s="230" t="s">
        <v>815</v>
      </c>
      <c r="B16" s="228">
        <v>100</v>
      </c>
      <c r="C16" s="233"/>
    </row>
    <row r="17" spans="1:3" ht="15.75">
      <c r="A17" s="1199"/>
      <c r="B17" s="1200"/>
      <c r="C17" s="1201"/>
    </row>
    <row r="18" spans="1:3" s="26" customFormat="1" ht="15.75">
      <c r="A18" s="234" t="s">
        <v>1250</v>
      </c>
      <c r="B18" s="228">
        <f>B19+B20</f>
        <v>200</v>
      </c>
      <c r="C18" s="235">
        <f>SUM(C19:C19)</f>
        <v>0</v>
      </c>
    </row>
    <row r="19" spans="1:3" s="26" customFormat="1" ht="15.75">
      <c r="A19" s="324" t="s">
        <v>816</v>
      </c>
      <c r="B19" s="325">
        <v>100</v>
      </c>
      <c r="C19" s="326"/>
    </row>
    <row r="20" spans="1:3" ht="15.75">
      <c r="A20" s="871" t="s">
        <v>1363</v>
      </c>
      <c r="B20" s="325">
        <v>100</v>
      </c>
      <c r="C20" s="322"/>
    </row>
    <row r="21" spans="1:3" ht="15.75">
      <c r="A21" s="409"/>
      <c r="B21" s="237"/>
      <c r="C21" s="322"/>
    </row>
    <row r="22" spans="1:3" ht="16.5" customHeight="1">
      <c r="A22" s="323"/>
      <c r="B22" s="327"/>
      <c r="C22" s="315"/>
    </row>
    <row r="23" spans="1:3" ht="15.75">
      <c r="A23" s="226" t="s">
        <v>1251</v>
      </c>
      <c r="B23" s="238">
        <f>+B18+B14</f>
        <v>400</v>
      </c>
      <c r="C23" s="239">
        <f>+C18+C14</f>
        <v>0</v>
      </c>
    </row>
  </sheetData>
  <sheetProtection/>
  <mergeCells count="6">
    <mergeCell ref="B1:C1"/>
    <mergeCell ref="A17:C17"/>
    <mergeCell ref="B12:C12"/>
    <mergeCell ref="A3:B3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18.28125" style="0" customWidth="1"/>
    <col min="2" max="2" width="27.00390625" style="0" customWidth="1"/>
    <col min="3" max="3" width="36.8515625" style="0" customWidth="1"/>
    <col min="4" max="4" width="9.57421875" style="0" hidden="1" customWidth="1"/>
    <col min="5" max="5" width="19.7109375" style="0" hidden="1" customWidth="1"/>
    <col min="9" max="9" width="9.57421875" style="0" bestFit="1" customWidth="1"/>
  </cols>
  <sheetData>
    <row r="1" spans="1:5" ht="12.75">
      <c r="A1" s="211"/>
      <c r="B1" s="211"/>
      <c r="C1" s="211"/>
      <c r="D1" s="211"/>
      <c r="E1" s="211"/>
    </row>
    <row r="2" spans="1:5" ht="12.75">
      <c r="A2" s="25"/>
      <c r="B2" s="25"/>
      <c r="C2" s="27" t="s">
        <v>551</v>
      </c>
      <c r="D2" s="873" t="s">
        <v>551</v>
      </c>
      <c r="E2" s="873"/>
    </row>
    <row r="3" spans="1:5" ht="12.75">
      <c r="A3" s="25"/>
      <c r="B3" s="25"/>
      <c r="C3" s="25"/>
      <c r="D3" s="10"/>
      <c r="E3" s="10"/>
    </row>
    <row r="4" spans="1:5" ht="12.75">
      <c r="A4" s="1133" t="s">
        <v>1518</v>
      </c>
      <c r="B4" s="1133"/>
      <c r="C4" s="1133"/>
      <c r="D4" s="32"/>
      <c r="E4" s="32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5.75">
      <c r="A7" s="1203" t="s">
        <v>891</v>
      </c>
      <c r="B7" s="1203"/>
      <c r="C7" s="1203"/>
      <c r="D7" s="258"/>
      <c r="E7" s="258"/>
    </row>
    <row r="8" spans="1:5" ht="15.75">
      <c r="A8" s="1203" t="s">
        <v>1151</v>
      </c>
      <c r="B8" s="1203"/>
      <c r="C8" s="1203"/>
      <c r="D8" s="258"/>
      <c r="E8" s="258"/>
    </row>
    <row r="11" spans="3:5" ht="12.75">
      <c r="C11" s="27" t="s">
        <v>161</v>
      </c>
      <c r="E11" s="41" t="s">
        <v>161</v>
      </c>
    </row>
    <row r="12" spans="1:5" s="10" customFormat="1" ht="30" customHeight="1">
      <c r="A12" s="12" t="s">
        <v>1262</v>
      </c>
      <c r="B12" s="247" t="s">
        <v>1263</v>
      </c>
      <c r="C12" s="247" t="s">
        <v>1264</v>
      </c>
      <c r="D12" s="247" t="s">
        <v>1330</v>
      </c>
      <c r="E12" s="48" t="s">
        <v>1265</v>
      </c>
    </row>
    <row r="13" spans="1:9" ht="12.75">
      <c r="A13" s="6" t="s">
        <v>1266</v>
      </c>
      <c r="B13" s="7">
        <f>B25*0.08</f>
        <v>158703.03659712</v>
      </c>
      <c r="C13" s="7">
        <f>C25*I13</f>
        <v>168621.9399401559</v>
      </c>
      <c r="D13" s="7">
        <f>C13-B13</f>
        <v>9918.903343035898</v>
      </c>
      <c r="E13" s="7"/>
      <c r="G13" s="209"/>
      <c r="H13" s="24">
        <v>0.08</v>
      </c>
      <c r="I13" s="1100">
        <v>0.085</v>
      </c>
    </row>
    <row r="14" spans="1:9" ht="12.75">
      <c r="A14" s="6" t="s">
        <v>1267</v>
      </c>
      <c r="B14" s="7">
        <f>B25*0.075</f>
        <v>148784.0968098</v>
      </c>
      <c r="C14" s="7">
        <f>C25*I14</f>
        <v>144816.4895956633</v>
      </c>
      <c r="D14" s="7">
        <f>C14-B14</f>
        <v>-3967.6072141366894</v>
      </c>
      <c r="E14" s="7"/>
      <c r="G14" s="209"/>
      <c r="H14" s="24">
        <v>0.075</v>
      </c>
      <c r="I14" s="1100">
        <v>0.073</v>
      </c>
    </row>
    <row r="15" spans="1:9" ht="12.75">
      <c r="A15" s="6" t="s">
        <v>1268</v>
      </c>
      <c r="B15" s="7">
        <f>B25*0.12</f>
        <v>238054.55489567996</v>
      </c>
      <c r="C15" s="7">
        <f>C25*I15</f>
        <v>228135.5658013874</v>
      </c>
      <c r="D15" s="7">
        <f>C15-B15</f>
        <v>-9918.98909429257</v>
      </c>
      <c r="E15" s="7"/>
      <c r="G15" s="209"/>
      <c r="H15" s="24">
        <f>6.5%+3.5%+2%</f>
        <v>0.12000000000000001</v>
      </c>
      <c r="I15" s="1100">
        <v>0.115</v>
      </c>
    </row>
    <row r="16" spans="1:9" ht="12.75">
      <c r="A16" s="6" t="s">
        <v>1269</v>
      </c>
      <c r="B16" s="7">
        <f>B25*0.075</f>
        <v>148784.0968098</v>
      </c>
      <c r="C16" s="7">
        <f>C25*I16</f>
        <v>144816.4895956633</v>
      </c>
      <c r="D16" s="7">
        <f aca="true" t="shared" si="0" ref="D16:D23">C16-B16</f>
        <v>-3967.6072141366894</v>
      </c>
      <c r="E16" s="7"/>
      <c r="G16" s="209"/>
      <c r="H16" s="24">
        <v>0.075</v>
      </c>
      <c r="I16" s="1100">
        <v>0.073</v>
      </c>
    </row>
    <row r="17" spans="1:9" ht="12.75">
      <c r="A17" s="6" t="s">
        <v>1270</v>
      </c>
      <c r="B17" s="7">
        <f>B25*0.075</f>
        <v>148784.0968098</v>
      </c>
      <c r="C17" s="7">
        <f>C25*I17</f>
        <v>144816.4895956633</v>
      </c>
      <c r="D17" s="7">
        <f t="shared" si="0"/>
        <v>-3967.6072141366894</v>
      </c>
      <c r="E17" s="7"/>
      <c r="G17" s="209"/>
      <c r="H17" s="24">
        <v>0.075</v>
      </c>
      <c r="I17" s="1100">
        <v>0.073</v>
      </c>
    </row>
    <row r="18" spans="1:9" ht="12.75">
      <c r="A18" s="6" t="s">
        <v>1271</v>
      </c>
      <c r="B18" s="7">
        <f>B25*0.075</f>
        <v>148784.0968098</v>
      </c>
      <c r="C18" s="7">
        <f>C25*I18</f>
        <v>144816.4895956633</v>
      </c>
      <c r="D18" s="7">
        <f t="shared" si="0"/>
        <v>-3967.6072141366894</v>
      </c>
      <c r="E18" s="7"/>
      <c r="G18" s="209"/>
      <c r="H18" s="24">
        <v>0.075</v>
      </c>
      <c r="I18" s="1100">
        <v>0.073</v>
      </c>
    </row>
    <row r="19" spans="1:9" ht="12.75">
      <c r="A19" s="6" t="s">
        <v>1272</v>
      </c>
      <c r="B19" s="7">
        <f>B25*0.075</f>
        <v>148784.0968098</v>
      </c>
      <c r="C19" s="7">
        <f>C25*I19</f>
        <v>144816.4895956633</v>
      </c>
      <c r="D19" s="7">
        <f t="shared" si="0"/>
        <v>-3967.6072141366894</v>
      </c>
      <c r="E19" s="7"/>
      <c r="G19" s="209"/>
      <c r="H19" s="24">
        <v>0.075</v>
      </c>
      <c r="I19" s="1100">
        <v>0.073</v>
      </c>
    </row>
    <row r="20" spans="1:9" ht="12.75">
      <c r="A20" s="6" t="s">
        <v>1273</v>
      </c>
      <c r="B20" s="7">
        <f>B25*0.085</f>
        <v>168621.97638444</v>
      </c>
      <c r="C20" s="7">
        <f>C25*I20</f>
        <v>144816.4895956633</v>
      </c>
      <c r="D20" s="7">
        <f t="shared" si="0"/>
        <v>-23805.486788776703</v>
      </c>
      <c r="E20" s="7"/>
      <c r="G20" s="209"/>
      <c r="H20" s="24">
        <v>0.085</v>
      </c>
      <c r="I20" s="1100">
        <v>0.073</v>
      </c>
    </row>
    <row r="21" spans="1:9" ht="12.75">
      <c r="A21" s="6" t="s">
        <v>1274</v>
      </c>
      <c r="B21" s="7">
        <f>B25*0.12</f>
        <v>238054.55489567996</v>
      </c>
      <c r="C21" s="7">
        <f>C25*I21</f>
        <v>228135.5658013874</v>
      </c>
      <c r="D21" s="7">
        <f t="shared" si="0"/>
        <v>-9918.98909429257</v>
      </c>
      <c r="E21" s="7"/>
      <c r="G21" s="209"/>
      <c r="H21" s="24">
        <f>6.5%+3.5%+2%</f>
        <v>0.12000000000000001</v>
      </c>
      <c r="I21" s="1100">
        <v>0.115</v>
      </c>
    </row>
    <row r="22" spans="1:9" ht="12.75">
      <c r="A22" s="6" t="s">
        <v>1275</v>
      </c>
      <c r="B22" s="7">
        <f>B25*0.075</f>
        <v>148784.0968098</v>
      </c>
      <c r="C22" s="7">
        <f>C25*I22</f>
        <v>172589.5149975713</v>
      </c>
      <c r="D22" s="7">
        <f t="shared" si="0"/>
        <v>23805.418187771313</v>
      </c>
      <c r="E22" s="7"/>
      <c r="G22" s="209"/>
      <c r="H22" s="24">
        <v>0.075</v>
      </c>
      <c r="I22" s="1100">
        <v>0.087</v>
      </c>
    </row>
    <row r="23" spans="1:9" ht="12.75">
      <c r="A23" s="6" t="s">
        <v>1276</v>
      </c>
      <c r="B23" s="7">
        <f>B25*0.075</f>
        <v>148784.0968098</v>
      </c>
      <c r="C23" s="7">
        <f>C25*I23</f>
        <v>158703.0022966173</v>
      </c>
      <c r="D23" s="7">
        <f t="shared" si="0"/>
        <v>9918.905486817326</v>
      </c>
      <c r="E23" s="7"/>
      <c r="G23" s="209"/>
      <c r="H23" s="24">
        <v>0.075</v>
      </c>
      <c r="I23" s="1100">
        <v>0.08</v>
      </c>
    </row>
    <row r="24" spans="1:9" ht="12.75">
      <c r="A24" s="6" t="s">
        <v>1277</v>
      </c>
      <c r="B24" s="7">
        <f>B25*0.07</f>
        <v>138865.15702248</v>
      </c>
      <c r="C24" s="7">
        <f>C25*I24</f>
        <v>158703.0022966173</v>
      </c>
      <c r="D24" s="7">
        <f>D25-D13-D14-D15-D16-D17-D18-D19-D20-D21-D22-D23</f>
        <v>19837.84527413739</v>
      </c>
      <c r="E24" s="7"/>
      <c r="G24" s="209"/>
      <c r="H24" s="248">
        <v>0.07</v>
      </c>
      <c r="I24" s="1100">
        <v>0.08</v>
      </c>
    </row>
    <row r="25" spans="1:9" s="10" customFormat="1" ht="12.75">
      <c r="A25" s="12" t="s">
        <v>1487</v>
      </c>
      <c r="B25" s="35">
        <f>1m!B62</f>
        <v>1983787.9574639997</v>
      </c>
      <c r="C25" s="35">
        <f>+1m!B42</f>
        <v>1983787.5287077164</v>
      </c>
      <c r="D25" s="35">
        <f>C25-B25</f>
        <v>-0.4287562833633274</v>
      </c>
      <c r="E25" s="35"/>
      <c r="G25" s="11"/>
      <c r="H25" s="346">
        <f>H13+H14+H16+H17+H18+H19+H20+H21+H22+H23+H24+H15</f>
        <v>0.9999999999999999</v>
      </c>
      <c r="I25" s="346">
        <f>SUM(I13:I24)</f>
        <v>0.9999999999999999</v>
      </c>
    </row>
    <row r="26" spans="2:4" ht="12.75" hidden="1">
      <c r="B26" s="8"/>
      <c r="C26" s="8">
        <f>4bm!H67+2bm!R20</f>
        <v>1150745.70794</v>
      </c>
      <c r="D26" s="8">
        <f>+1bm!L22</f>
        <v>0</v>
      </c>
    </row>
    <row r="27" spans="2:3" ht="12.75" hidden="1">
      <c r="B27" s="8">
        <f>+C26-D26</f>
        <v>1150745.70794</v>
      </c>
      <c r="C27" s="8"/>
    </row>
    <row r="28" spans="3:4" ht="12.75">
      <c r="C28" s="8"/>
      <c r="D28" s="8">
        <f>D13++D14+D15+D16+D17+D18+D19+D20+D21+D22+D23+D24</f>
        <v>-0.4287562833633274</v>
      </c>
    </row>
    <row r="29" spans="2:3" ht="12.75">
      <c r="B29" s="8"/>
      <c r="C29" s="8"/>
    </row>
  </sheetData>
  <sheetProtection/>
  <mergeCells count="3">
    <mergeCell ref="A7:C7"/>
    <mergeCell ref="A8:C8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G20"/>
  <sheetViews>
    <sheetView zoomScaleSheetLayoutView="100" zoomScalePageLayoutView="0" workbookViewId="0" topLeftCell="A7">
      <selection activeCell="A14" sqref="A14:E14"/>
    </sheetView>
  </sheetViews>
  <sheetFormatPr defaultColWidth="9.140625" defaultRowHeight="12.75"/>
  <cols>
    <col min="1" max="1" width="31.8515625" style="0" customWidth="1"/>
    <col min="2" max="2" width="22.28125" style="0" customWidth="1"/>
    <col min="3" max="3" width="14.140625" style="0" bestFit="1" customWidth="1"/>
    <col min="4" max="4" width="21.8515625" style="0" customWidth="1"/>
    <col min="5" max="5" width="12.8515625" style="0" bestFit="1" customWidth="1"/>
    <col min="6" max="6" width="15.00390625" style="0" customWidth="1"/>
    <col min="7" max="7" width="9.140625" style="0" hidden="1" customWidth="1"/>
  </cols>
  <sheetData>
    <row r="1" spans="5:6" ht="12.75">
      <c r="E1" s="1171" t="s">
        <v>552</v>
      </c>
      <c r="F1" s="1162"/>
    </row>
    <row r="4" spans="1:6" ht="12.75">
      <c r="A4" s="1133" t="s">
        <v>1518</v>
      </c>
      <c r="B4" s="1133"/>
      <c r="C4" s="1133"/>
      <c r="D4" s="1133"/>
      <c r="E4" s="1133"/>
      <c r="F4" s="1133"/>
    </row>
    <row r="5" spans="1:6" ht="29.25" customHeight="1">
      <c r="A5" s="1132" t="s">
        <v>892</v>
      </c>
      <c r="B5" s="1132"/>
      <c r="C5" s="1132"/>
      <c r="D5" s="1132"/>
      <c r="E5" s="1132"/>
      <c r="F5" s="1132"/>
    </row>
    <row r="6" spans="1:5" ht="29.25" customHeight="1">
      <c r="A6" s="44"/>
      <c r="B6" s="44"/>
      <c r="C6" s="44"/>
      <c r="D6" s="44"/>
      <c r="E6" s="44"/>
    </row>
    <row r="7" spans="1:5" ht="29.25" customHeight="1">
      <c r="A7" s="44"/>
      <c r="B7" s="44"/>
      <c r="C7" s="44"/>
      <c r="D7" s="44"/>
      <c r="E7" s="44"/>
    </row>
    <row r="8" spans="4:6" ht="13.5" thickBot="1">
      <c r="D8" s="1122" t="s">
        <v>161</v>
      </c>
      <c r="E8" s="1122"/>
      <c r="F8" s="1122"/>
    </row>
    <row r="9" spans="1:7" ht="12.75">
      <c r="A9" s="1223" t="s">
        <v>1037</v>
      </c>
      <c r="B9" s="1221" t="s">
        <v>1278</v>
      </c>
      <c r="C9" s="1221"/>
      <c r="D9" s="1221" t="s">
        <v>1279</v>
      </c>
      <c r="E9" s="1222"/>
      <c r="F9" s="1218" t="s">
        <v>1280</v>
      </c>
      <c r="G9" s="262"/>
    </row>
    <row r="10" spans="1:7" ht="12.75">
      <c r="A10" s="1224"/>
      <c r="B10" s="1207" t="s">
        <v>433</v>
      </c>
      <c r="C10" s="1207" t="s">
        <v>434</v>
      </c>
      <c r="D10" s="1207" t="s">
        <v>433</v>
      </c>
      <c r="E10" s="1207" t="s">
        <v>435</v>
      </c>
      <c r="F10" s="1219"/>
      <c r="G10" s="262"/>
    </row>
    <row r="11" spans="1:7" ht="13.5" thickBot="1">
      <c r="A11" s="1225"/>
      <c r="B11" s="1208"/>
      <c r="C11" s="1208"/>
      <c r="D11" s="1208"/>
      <c r="E11" s="1208"/>
      <c r="F11" s="1220"/>
      <c r="G11" s="262"/>
    </row>
    <row r="12" spans="1:7" ht="27" customHeight="1">
      <c r="A12" s="1212" t="s">
        <v>428</v>
      </c>
      <c r="B12" s="1213"/>
      <c r="C12" s="1213"/>
      <c r="D12" s="1213"/>
      <c r="E12" s="1214"/>
      <c r="F12" s="723"/>
      <c r="G12" s="262"/>
    </row>
    <row r="13" spans="1:7" ht="27" customHeight="1">
      <c r="A13" s="717" t="s">
        <v>1057</v>
      </c>
      <c r="B13" s="772" t="s">
        <v>703</v>
      </c>
      <c r="C13" s="255">
        <v>100</v>
      </c>
      <c r="D13" s="254"/>
      <c r="E13" s="254"/>
      <c r="F13" s="718">
        <f>C13</f>
        <v>100</v>
      </c>
      <c r="G13" s="262"/>
    </row>
    <row r="14" spans="1:7" ht="27" customHeight="1">
      <c r="A14" s="1215" t="s">
        <v>432</v>
      </c>
      <c r="B14" s="1216"/>
      <c r="C14" s="1216"/>
      <c r="D14" s="1216"/>
      <c r="E14" s="1217"/>
      <c r="F14" s="718"/>
      <c r="G14" s="262"/>
    </row>
    <row r="15" spans="1:7" ht="27" customHeight="1">
      <c r="A15" s="1215" t="s">
        <v>429</v>
      </c>
      <c r="B15" s="1216"/>
      <c r="C15" s="1216"/>
      <c r="D15" s="1216"/>
      <c r="E15" s="1217"/>
      <c r="F15" s="718"/>
      <c r="G15" s="262"/>
    </row>
    <row r="16" spans="1:7" ht="27" customHeight="1">
      <c r="A16" s="719" t="s">
        <v>1107</v>
      </c>
      <c r="B16" s="256"/>
      <c r="C16" s="256"/>
      <c r="D16" s="4" t="s">
        <v>1281</v>
      </c>
      <c r="E16" s="891">
        <v>600</v>
      </c>
      <c r="F16" s="720">
        <f>E16</f>
        <v>600</v>
      </c>
      <c r="G16" s="262"/>
    </row>
    <row r="17" spans="1:7" ht="27" customHeight="1">
      <c r="A17" s="721" t="s">
        <v>197</v>
      </c>
      <c r="B17" s="257"/>
      <c r="C17" s="257"/>
      <c r="D17" s="257" t="s">
        <v>1282</v>
      </c>
      <c r="E17" s="2">
        <v>0</v>
      </c>
      <c r="F17" s="720">
        <v>0</v>
      </c>
      <c r="G17" s="262"/>
    </row>
    <row r="18" spans="1:7" ht="27" customHeight="1">
      <c r="A18" s="1209" t="s">
        <v>430</v>
      </c>
      <c r="B18" s="1210"/>
      <c r="C18" s="1210"/>
      <c r="D18" s="1210"/>
      <c r="E18" s="1211"/>
      <c r="F18" s="720"/>
      <c r="G18" s="262"/>
    </row>
    <row r="19" spans="1:7" ht="27" customHeight="1" thickBot="1">
      <c r="A19" s="1204" t="s">
        <v>431</v>
      </c>
      <c r="B19" s="1205"/>
      <c r="C19" s="1205"/>
      <c r="D19" s="1205"/>
      <c r="E19" s="1206"/>
      <c r="F19" s="722"/>
      <c r="G19" s="262"/>
    </row>
    <row r="20" spans="1:7" s="10" customFormat="1" ht="27" customHeight="1" thickBot="1">
      <c r="A20" s="592" t="s">
        <v>1487</v>
      </c>
      <c r="B20" s="594"/>
      <c r="C20" s="713">
        <f>C13</f>
        <v>100</v>
      </c>
      <c r="D20" s="714"/>
      <c r="E20" s="715">
        <f>E16+E17</f>
        <v>600</v>
      </c>
      <c r="F20" s="716">
        <f>C20+E20</f>
        <v>700</v>
      </c>
      <c r="G20" s="384"/>
    </row>
    <row r="21" ht="27.75" customHeight="1"/>
    <row r="22" ht="27.75" customHeight="1"/>
  </sheetData>
  <sheetProtection/>
  <mergeCells count="17">
    <mergeCell ref="E1:F1"/>
    <mergeCell ref="A12:E12"/>
    <mergeCell ref="A14:E14"/>
    <mergeCell ref="A15:E15"/>
    <mergeCell ref="A4:F4"/>
    <mergeCell ref="F9:F11"/>
    <mergeCell ref="D9:E9"/>
    <mergeCell ref="A9:A11"/>
    <mergeCell ref="B9:C9"/>
    <mergeCell ref="A5:F5"/>
    <mergeCell ref="A19:E19"/>
    <mergeCell ref="D8:F8"/>
    <mergeCell ref="B10:B11"/>
    <mergeCell ref="C10:C11"/>
    <mergeCell ref="D10:D11"/>
    <mergeCell ref="E10:E11"/>
    <mergeCell ref="A18:E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C10">
      <selection activeCell="P16" sqref="P16"/>
    </sheetView>
  </sheetViews>
  <sheetFormatPr defaultColWidth="9.140625" defaultRowHeight="12.75"/>
  <cols>
    <col min="1" max="1" width="41.140625" style="0" customWidth="1"/>
    <col min="2" max="16" width="7.7109375" style="0" customWidth="1"/>
  </cols>
  <sheetData>
    <row r="1" spans="1:16" ht="12.75">
      <c r="A1" s="1171" t="s">
        <v>427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1171"/>
      <c r="O1" s="1171"/>
      <c r="P1" s="1171"/>
    </row>
    <row r="4" spans="1:16" ht="12.75">
      <c r="A4" s="1133" t="s">
        <v>1518</v>
      </c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</row>
    <row r="5" ht="12.75">
      <c r="A5" s="20"/>
    </row>
    <row r="6" spans="1:16" ht="33.75" customHeight="1">
      <c r="A6" s="1132" t="s">
        <v>718</v>
      </c>
      <c r="B6" s="1132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</row>
    <row r="7" ht="33.75" customHeight="1">
      <c r="A7" s="44"/>
    </row>
    <row r="8" spans="1:16" ht="13.5" thickBot="1">
      <c r="A8" s="1226" t="s">
        <v>161</v>
      </c>
      <c r="B8" s="1226"/>
      <c r="C8" s="1226"/>
      <c r="D8" s="1226"/>
      <c r="E8" s="1226"/>
      <c r="F8" s="1226"/>
      <c r="G8" s="1226"/>
      <c r="H8" s="1226"/>
      <c r="I8" s="1226"/>
      <c r="J8" s="1226"/>
      <c r="K8" s="1226"/>
      <c r="L8" s="1226"/>
      <c r="M8" s="1226"/>
      <c r="N8" s="1226"/>
      <c r="O8" s="1226"/>
      <c r="P8" s="1226"/>
    </row>
    <row r="9" spans="1:16" s="13" customFormat="1" ht="27" customHeight="1" thickBot="1">
      <c r="A9" s="735" t="s">
        <v>719</v>
      </c>
      <c r="B9" s="725" t="s">
        <v>1044</v>
      </c>
      <c r="C9" s="725" t="s">
        <v>802</v>
      </c>
      <c r="D9" s="725" t="s">
        <v>803</v>
      </c>
      <c r="E9" s="725" t="s">
        <v>804</v>
      </c>
      <c r="F9" s="725" t="s">
        <v>1448</v>
      </c>
      <c r="G9" s="725" t="s">
        <v>370</v>
      </c>
      <c r="H9" s="725" t="s">
        <v>371</v>
      </c>
      <c r="I9" s="725" t="s">
        <v>372</v>
      </c>
      <c r="J9" s="725" t="s">
        <v>373</v>
      </c>
      <c r="K9" s="725" t="s">
        <v>1047</v>
      </c>
      <c r="L9" s="725" t="s">
        <v>1042</v>
      </c>
      <c r="M9" s="725" t="s">
        <v>436</v>
      </c>
      <c r="N9" s="725" t="s">
        <v>437</v>
      </c>
      <c r="O9" s="726" t="s">
        <v>438</v>
      </c>
      <c r="P9" s="690" t="s">
        <v>1446</v>
      </c>
    </row>
    <row r="10" spans="1:16" s="13" customFormat="1" ht="27" customHeight="1" thickBot="1">
      <c r="A10" s="741" t="s">
        <v>787</v>
      </c>
      <c r="B10" s="645">
        <f aca="true" t="shared" si="0" ref="B10:G10">SUM(B11:B12)</f>
        <v>11925.714267716536</v>
      </c>
      <c r="C10" s="645">
        <f t="shared" si="0"/>
        <v>6695.59426696063</v>
      </c>
      <c r="D10" s="645">
        <f t="shared" si="0"/>
        <v>6963.418037639056</v>
      </c>
      <c r="E10" s="645">
        <f t="shared" si="0"/>
        <v>7241.954759144618</v>
      </c>
      <c r="F10" s="645">
        <f t="shared" si="0"/>
        <v>7531.632949510403</v>
      </c>
      <c r="G10" s="645">
        <f t="shared" si="0"/>
        <v>7832.898267490819</v>
      </c>
      <c r="H10" s="645">
        <f aca="true" t="shared" si="1" ref="H10:O10">SUM(H11:H12)</f>
        <v>0</v>
      </c>
      <c r="I10" s="645">
        <f t="shared" si="1"/>
        <v>0</v>
      </c>
      <c r="J10" s="645">
        <f t="shared" si="1"/>
        <v>0</v>
      </c>
      <c r="K10" s="645">
        <f t="shared" si="1"/>
        <v>0</v>
      </c>
      <c r="L10" s="645">
        <f t="shared" si="1"/>
        <v>0</v>
      </c>
      <c r="M10" s="645">
        <f t="shared" si="1"/>
        <v>0</v>
      </c>
      <c r="N10" s="645">
        <f t="shared" si="1"/>
        <v>0</v>
      </c>
      <c r="O10" s="645">
        <f t="shared" si="1"/>
        <v>0</v>
      </c>
      <c r="P10" s="740"/>
    </row>
    <row r="11" spans="1:16" s="13" customFormat="1" ht="15" customHeight="1">
      <c r="A11" s="734" t="s">
        <v>720</v>
      </c>
      <c r="B11" s="727">
        <f>4bm!F37</f>
        <v>6425.714267716536</v>
      </c>
      <c r="C11" s="727">
        <f>B11*1.042</f>
        <v>6695.59426696063</v>
      </c>
      <c r="D11" s="727">
        <f>C11*1.04</f>
        <v>6963.418037639056</v>
      </c>
      <c r="E11" s="727">
        <f>D11*1.04</f>
        <v>7241.954759144618</v>
      </c>
      <c r="F11" s="727">
        <f>E11*1.04</f>
        <v>7531.632949510403</v>
      </c>
      <c r="G11" s="727">
        <f>F11*1.04</f>
        <v>7832.898267490819</v>
      </c>
      <c r="H11" s="727"/>
      <c r="I11" s="727"/>
      <c r="J11" s="727"/>
      <c r="K11" s="727"/>
      <c r="L11" s="727"/>
      <c r="M11" s="727"/>
      <c r="N11" s="736"/>
      <c r="O11" s="736"/>
      <c r="P11" s="738"/>
    </row>
    <row r="12" spans="1:16" s="13" customFormat="1" ht="15" customHeight="1" thickBot="1">
      <c r="A12" s="733" t="s">
        <v>721</v>
      </c>
      <c r="B12" s="727">
        <f>4bm!F39</f>
        <v>5500</v>
      </c>
      <c r="C12" s="649"/>
      <c r="D12" s="649"/>
      <c r="E12" s="649"/>
      <c r="F12" s="649"/>
      <c r="H12" s="649"/>
      <c r="I12" s="649"/>
      <c r="J12" s="649"/>
      <c r="K12" s="649"/>
      <c r="L12" s="649"/>
      <c r="M12" s="649"/>
      <c r="N12" s="724"/>
      <c r="O12" s="724"/>
      <c r="P12" s="730"/>
    </row>
    <row r="13" spans="1:16" s="13" customFormat="1" ht="27" customHeight="1" thickBot="1">
      <c r="A13" s="741" t="s">
        <v>788</v>
      </c>
      <c r="B13" s="645">
        <f>SUM(B14:B15)</f>
        <v>15322.272</v>
      </c>
      <c r="C13" s="645">
        <f>SUM(C14:C15)</f>
        <v>15965.807424000002</v>
      </c>
      <c r="D13" s="645">
        <f aca="true" t="shared" si="2" ref="D13:P13">SUM(D14:D15)</f>
        <v>0</v>
      </c>
      <c r="E13" s="645">
        <f t="shared" si="2"/>
        <v>0</v>
      </c>
      <c r="F13" s="645">
        <f t="shared" si="2"/>
        <v>0</v>
      </c>
      <c r="G13" s="645">
        <f t="shared" si="2"/>
        <v>0</v>
      </c>
      <c r="H13" s="645">
        <f t="shared" si="2"/>
        <v>0</v>
      </c>
      <c r="I13" s="645">
        <f t="shared" si="2"/>
        <v>0</v>
      </c>
      <c r="J13" s="645">
        <f t="shared" si="2"/>
        <v>0</v>
      </c>
      <c r="K13" s="645">
        <f t="shared" si="2"/>
        <v>0</v>
      </c>
      <c r="L13" s="645">
        <f t="shared" si="2"/>
        <v>0</v>
      </c>
      <c r="M13" s="645">
        <f t="shared" si="2"/>
        <v>0</v>
      </c>
      <c r="N13" s="645">
        <f t="shared" si="2"/>
        <v>0</v>
      </c>
      <c r="O13" s="645">
        <f t="shared" si="2"/>
        <v>0</v>
      </c>
      <c r="P13" s="645">
        <f t="shared" si="2"/>
        <v>0</v>
      </c>
    </row>
    <row r="14" spans="1:16" s="13" customFormat="1" ht="15" customHeight="1">
      <c r="A14" s="734" t="s">
        <v>1137</v>
      </c>
      <c r="B14" s="861">
        <f>2am!F28</f>
        <v>15322.272</v>
      </c>
      <c r="C14" s="862">
        <f>B14*1.042</f>
        <v>15965.807424000002</v>
      </c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36"/>
      <c r="O14" s="736"/>
      <c r="P14" s="738"/>
    </row>
    <row r="15" spans="1:16" s="13" customFormat="1" ht="15" customHeight="1" thickBot="1">
      <c r="A15" s="733" t="s">
        <v>722</v>
      </c>
      <c r="B15" s="739">
        <f>2am!F29</f>
        <v>0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724"/>
      <c r="O15" s="724"/>
      <c r="P15" s="730"/>
    </row>
    <row r="16" spans="1:16" s="13" customFormat="1" ht="27" customHeight="1" thickBot="1">
      <c r="A16" s="741" t="s">
        <v>439</v>
      </c>
      <c r="B16" s="645">
        <f aca="true" t="shared" si="3" ref="B16:P16">SUM(B17:B26)</f>
        <v>13907.2</v>
      </c>
      <c r="C16" s="645">
        <f t="shared" si="3"/>
        <v>12470.8</v>
      </c>
      <c r="D16" s="645">
        <f t="shared" si="3"/>
        <v>7363.2</v>
      </c>
      <c r="E16" s="645">
        <f t="shared" si="3"/>
        <v>5368</v>
      </c>
      <c r="F16" s="645">
        <f t="shared" si="3"/>
        <v>4462.8</v>
      </c>
      <c r="G16" s="645">
        <f t="shared" si="3"/>
        <v>3994.8</v>
      </c>
      <c r="H16" s="645">
        <f t="shared" si="3"/>
        <v>3995.2000000000003</v>
      </c>
      <c r="I16" s="645">
        <f t="shared" si="3"/>
        <v>3994.8</v>
      </c>
      <c r="J16" s="645">
        <f t="shared" si="3"/>
        <v>3994.8</v>
      </c>
      <c r="K16" s="645">
        <f t="shared" si="3"/>
        <v>3561.2000000000003</v>
      </c>
      <c r="L16" s="645">
        <f t="shared" si="3"/>
        <v>996.4000000000001</v>
      </c>
      <c r="M16" s="645">
        <f t="shared" si="3"/>
        <v>996.4000000000001</v>
      </c>
      <c r="N16" s="645">
        <f t="shared" si="3"/>
        <v>996.8000000000001</v>
      </c>
      <c r="O16" s="645">
        <f t="shared" si="3"/>
        <v>996.4000000000001</v>
      </c>
      <c r="P16" s="645">
        <f t="shared" si="3"/>
        <v>771.6000000000001</v>
      </c>
    </row>
    <row r="17" spans="1:16" s="13" customFormat="1" ht="15" customHeight="1">
      <c r="A17" s="744" t="s">
        <v>53</v>
      </c>
      <c r="B17" s="727">
        <f>1040*0.4</f>
        <v>416</v>
      </c>
      <c r="C17" s="727">
        <f aca="true" t="shared" si="4" ref="C17:J17">1040*0.4</f>
        <v>416</v>
      </c>
      <c r="D17" s="727">
        <f t="shared" si="4"/>
        <v>416</v>
      </c>
      <c r="E17" s="727">
        <f t="shared" si="4"/>
        <v>416</v>
      </c>
      <c r="F17" s="727">
        <f t="shared" si="4"/>
        <v>416</v>
      </c>
      <c r="G17" s="727">
        <f t="shared" si="4"/>
        <v>416</v>
      </c>
      <c r="H17" s="727">
        <f t="shared" si="4"/>
        <v>416</v>
      </c>
      <c r="I17" s="727">
        <f t="shared" si="4"/>
        <v>416</v>
      </c>
      <c r="J17" s="727">
        <f t="shared" si="4"/>
        <v>416</v>
      </c>
      <c r="K17" s="727">
        <f>1031*0.4</f>
        <v>412.40000000000003</v>
      </c>
      <c r="L17" s="727"/>
      <c r="M17" s="727"/>
      <c r="N17" s="736"/>
      <c r="O17" s="737"/>
      <c r="P17" s="738"/>
    </row>
    <row r="18" spans="1:16" s="13" customFormat="1" ht="15" customHeight="1">
      <c r="A18" s="745" t="s">
        <v>54</v>
      </c>
      <c r="B18" s="727">
        <f>807*0.4</f>
        <v>322.8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331"/>
      <c r="O18" s="728"/>
      <c r="P18" s="729"/>
    </row>
    <row r="19" spans="1:16" s="13" customFormat="1" ht="25.5">
      <c r="A19" s="745" t="s">
        <v>799</v>
      </c>
      <c r="B19" s="727">
        <f>1366*0.4</f>
        <v>546.4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331"/>
      <c r="O19" s="728"/>
      <c r="P19" s="729"/>
    </row>
    <row r="20" spans="1:16" s="13" customFormat="1" ht="15" customHeight="1">
      <c r="A20" s="745" t="s">
        <v>1045</v>
      </c>
      <c r="B20" s="639">
        <f>6456*0.4</f>
        <v>2582.4</v>
      </c>
      <c r="C20" s="639">
        <f aca="true" t="shared" si="5" ref="C20:J20">6456*0.4</f>
        <v>2582.4</v>
      </c>
      <c r="D20" s="639">
        <f t="shared" si="5"/>
        <v>2582.4</v>
      </c>
      <c r="E20" s="639">
        <f t="shared" si="5"/>
        <v>2582.4</v>
      </c>
      <c r="F20" s="639">
        <f t="shared" si="5"/>
        <v>2582.4</v>
      </c>
      <c r="G20" s="639">
        <f t="shared" si="5"/>
        <v>2582.4</v>
      </c>
      <c r="H20" s="639">
        <f t="shared" si="5"/>
        <v>2582.4</v>
      </c>
      <c r="I20" s="639">
        <f t="shared" si="5"/>
        <v>2582.4</v>
      </c>
      <c r="J20" s="639">
        <f t="shared" si="5"/>
        <v>2582.4</v>
      </c>
      <c r="K20" s="727">
        <f>5380*0.4</f>
        <v>2152</v>
      </c>
      <c r="L20" s="727"/>
      <c r="M20" s="727"/>
      <c r="N20" s="331"/>
      <c r="O20" s="728"/>
      <c r="P20" s="729"/>
    </row>
    <row r="21" spans="1:16" s="13" customFormat="1" ht="25.5">
      <c r="A21" s="745" t="s">
        <v>1048</v>
      </c>
      <c r="B21" s="639">
        <f>2108*0.4</f>
        <v>843.2</v>
      </c>
      <c r="C21" s="639">
        <f>2107*0.4</f>
        <v>842.8000000000001</v>
      </c>
      <c r="D21" s="639">
        <f>2107*0.4</f>
        <v>842.8000000000001</v>
      </c>
      <c r="E21" s="639">
        <f>2108*0.4</f>
        <v>843.2</v>
      </c>
      <c r="F21" s="639">
        <f>2107*0.4</f>
        <v>842.8000000000001</v>
      </c>
      <c r="G21" s="639">
        <f>2107*0.4</f>
        <v>842.8000000000001</v>
      </c>
      <c r="H21" s="639">
        <f>2108*0.4</f>
        <v>843.2</v>
      </c>
      <c r="I21" s="639">
        <f>2107*0.4</f>
        <v>842.8000000000001</v>
      </c>
      <c r="J21" s="639">
        <f>2107*0.4</f>
        <v>842.8000000000001</v>
      </c>
      <c r="K21" s="639">
        <f>2108*0.4</f>
        <v>843.2</v>
      </c>
      <c r="L21" s="639">
        <f>2107*0.4</f>
        <v>842.8000000000001</v>
      </c>
      <c r="M21" s="639">
        <f>2107*0.4</f>
        <v>842.8000000000001</v>
      </c>
      <c r="N21" s="639">
        <f>2108*0.4</f>
        <v>843.2</v>
      </c>
      <c r="O21" s="639">
        <f>2107*0.4</f>
        <v>842.8000000000001</v>
      </c>
      <c r="P21" s="1099">
        <f>1756*0.4</f>
        <v>702.4000000000001</v>
      </c>
    </row>
    <row r="22" spans="1:16" s="13" customFormat="1" ht="51">
      <c r="A22" s="745" t="s">
        <v>417</v>
      </c>
      <c r="B22" s="639">
        <f>384*0.4</f>
        <v>153.60000000000002</v>
      </c>
      <c r="C22" s="639">
        <f aca="true" t="shared" si="6" ref="C22:O22">384*0.4</f>
        <v>153.60000000000002</v>
      </c>
      <c r="D22" s="639">
        <f t="shared" si="6"/>
        <v>153.60000000000002</v>
      </c>
      <c r="E22" s="639">
        <f t="shared" si="6"/>
        <v>153.60000000000002</v>
      </c>
      <c r="F22" s="639">
        <f t="shared" si="6"/>
        <v>153.60000000000002</v>
      </c>
      <c r="G22" s="639">
        <f t="shared" si="6"/>
        <v>153.60000000000002</v>
      </c>
      <c r="H22" s="639">
        <f t="shared" si="6"/>
        <v>153.60000000000002</v>
      </c>
      <c r="I22" s="639">
        <f t="shared" si="6"/>
        <v>153.60000000000002</v>
      </c>
      <c r="J22" s="639">
        <f t="shared" si="6"/>
        <v>153.60000000000002</v>
      </c>
      <c r="K22" s="639">
        <f t="shared" si="6"/>
        <v>153.60000000000002</v>
      </c>
      <c r="L22" s="639">
        <f t="shared" si="6"/>
        <v>153.60000000000002</v>
      </c>
      <c r="M22" s="639">
        <f t="shared" si="6"/>
        <v>153.60000000000002</v>
      </c>
      <c r="N22" s="639">
        <f t="shared" si="6"/>
        <v>153.60000000000002</v>
      </c>
      <c r="O22" s="639">
        <f t="shared" si="6"/>
        <v>153.60000000000002</v>
      </c>
      <c r="P22" s="1099">
        <f>173*0.4</f>
        <v>69.2</v>
      </c>
    </row>
    <row r="23" spans="1:16" s="13" customFormat="1" ht="15" customHeight="1">
      <c r="A23" s="745" t="s">
        <v>418</v>
      </c>
      <c r="B23" s="639">
        <f>336*0.4</f>
        <v>134.4</v>
      </c>
      <c r="C23" s="639">
        <f>336*0.4</f>
        <v>134.4</v>
      </c>
      <c r="D23" s="639">
        <f>336*0.4</f>
        <v>134.4</v>
      </c>
      <c r="E23" s="639">
        <f>336*0.4</f>
        <v>134.4</v>
      </c>
      <c r="F23" s="639">
        <f>336*0.4</f>
        <v>134.4</v>
      </c>
      <c r="G23" s="639"/>
      <c r="H23" s="639"/>
      <c r="I23" s="639"/>
      <c r="J23" s="639"/>
      <c r="K23" s="639"/>
      <c r="L23" s="639"/>
      <c r="M23" s="639"/>
      <c r="N23" s="724"/>
      <c r="O23" s="731"/>
      <c r="P23" s="730"/>
    </row>
    <row r="24" spans="1:16" s="13" customFormat="1" ht="15" customHeight="1">
      <c r="A24" s="745" t="s">
        <v>419</v>
      </c>
      <c r="B24" s="639">
        <f>3004*0.4</f>
        <v>1201.6000000000001</v>
      </c>
      <c r="C24" s="639">
        <f>3004*0.4</f>
        <v>1201.6000000000001</v>
      </c>
      <c r="D24" s="639">
        <f>3004*0.4</f>
        <v>1201.6000000000001</v>
      </c>
      <c r="E24" s="639">
        <f>2250*0.4</f>
        <v>900</v>
      </c>
      <c r="F24" s="639"/>
      <c r="G24" s="639"/>
      <c r="H24" s="639"/>
      <c r="I24" s="639"/>
      <c r="J24" s="639"/>
      <c r="K24" s="639"/>
      <c r="L24" s="639"/>
      <c r="M24" s="639"/>
      <c r="N24" s="724"/>
      <c r="O24" s="731"/>
      <c r="P24" s="730"/>
    </row>
    <row r="25" spans="1:16" s="13" customFormat="1" ht="25.5">
      <c r="A25" s="745" t="s">
        <v>420</v>
      </c>
      <c r="B25" s="639">
        <f>846*0.4</f>
        <v>338.40000000000003</v>
      </c>
      <c r="C25" s="639">
        <f>846*0.4</f>
        <v>338.40000000000003</v>
      </c>
      <c r="D25" s="639">
        <f>846*0.4</f>
        <v>338.40000000000003</v>
      </c>
      <c r="E25" s="639">
        <f>846*0.4</f>
        <v>338.40000000000003</v>
      </c>
      <c r="F25" s="639">
        <f>834*0.4</f>
        <v>333.6</v>
      </c>
      <c r="G25" s="639"/>
      <c r="H25" s="639"/>
      <c r="I25" s="639"/>
      <c r="J25" s="639"/>
      <c r="K25" s="639"/>
      <c r="L25" s="639"/>
      <c r="M25" s="639"/>
      <c r="N25" s="724"/>
      <c r="O25" s="731"/>
      <c r="P25" s="730"/>
    </row>
    <row r="26" spans="1:16" s="13" customFormat="1" ht="15" customHeight="1" thickBot="1">
      <c r="A26" s="745" t="s">
        <v>421</v>
      </c>
      <c r="B26" s="639">
        <f>18421*0.4</f>
        <v>7368.400000000001</v>
      </c>
      <c r="C26" s="639">
        <f>17004*0.4</f>
        <v>6801.6</v>
      </c>
      <c r="D26" s="639">
        <f>4235*0.4</f>
        <v>1694</v>
      </c>
      <c r="E26" s="639"/>
      <c r="F26" s="639"/>
      <c r="G26" s="639"/>
      <c r="H26" s="639"/>
      <c r="I26" s="639"/>
      <c r="J26" s="639"/>
      <c r="K26" s="639"/>
      <c r="L26" s="639"/>
      <c r="M26" s="639"/>
      <c r="N26" s="724"/>
      <c r="O26" s="731"/>
      <c r="P26" s="730"/>
    </row>
    <row r="27" spans="1:16" s="13" customFormat="1" ht="27" customHeight="1" thickBot="1">
      <c r="A27" s="673" t="s">
        <v>1487</v>
      </c>
      <c r="B27" s="732">
        <f aca="true" t="shared" si="7" ref="B27:P27">+B10+B13+B16</f>
        <v>41155.18626771653</v>
      </c>
      <c r="C27" s="732">
        <f t="shared" si="7"/>
        <v>35132.20169096063</v>
      </c>
      <c r="D27" s="732">
        <f t="shared" si="7"/>
        <v>14326.618037639055</v>
      </c>
      <c r="E27" s="732">
        <f t="shared" si="7"/>
        <v>12609.954759144617</v>
      </c>
      <c r="F27" s="732">
        <f t="shared" si="7"/>
        <v>11994.432949510403</v>
      </c>
      <c r="G27" s="732">
        <f t="shared" si="7"/>
        <v>11827.69826749082</v>
      </c>
      <c r="H27" s="732">
        <f t="shared" si="7"/>
        <v>3995.2000000000003</v>
      </c>
      <c r="I27" s="732">
        <f t="shared" si="7"/>
        <v>3994.8</v>
      </c>
      <c r="J27" s="732">
        <f t="shared" si="7"/>
        <v>3994.8</v>
      </c>
      <c r="K27" s="732">
        <f t="shared" si="7"/>
        <v>3561.2000000000003</v>
      </c>
      <c r="L27" s="732">
        <f t="shared" si="7"/>
        <v>996.4000000000001</v>
      </c>
      <c r="M27" s="732">
        <f t="shared" si="7"/>
        <v>996.4000000000001</v>
      </c>
      <c r="N27" s="732">
        <f t="shared" si="7"/>
        <v>996.8000000000001</v>
      </c>
      <c r="O27" s="732">
        <f t="shared" si="7"/>
        <v>996.4000000000001</v>
      </c>
      <c r="P27" s="732">
        <f t="shared" si="7"/>
        <v>771.6000000000001</v>
      </c>
    </row>
    <row r="33" ht="12.75">
      <c r="G33" s="23"/>
    </row>
  </sheetData>
  <sheetProtection/>
  <mergeCells count="4">
    <mergeCell ref="A6:P6"/>
    <mergeCell ref="A4:P4"/>
    <mergeCell ref="A1:P1"/>
    <mergeCell ref="A8:P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7F5F7"/>
  </sheetPr>
  <dimension ref="A1:K16"/>
  <sheetViews>
    <sheetView view="pageBreakPreview" zoomScaleSheetLayoutView="100" zoomScalePageLayoutView="0" workbookViewId="0" topLeftCell="A4">
      <selection activeCell="B11" sqref="B11"/>
    </sheetView>
  </sheetViews>
  <sheetFormatPr defaultColWidth="9.140625" defaultRowHeight="27" customHeight="1"/>
  <cols>
    <col min="1" max="1" width="61.140625" style="91" customWidth="1"/>
    <col min="2" max="2" width="13.8515625" style="91" customWidth="1"/>
    <col min="3" max="4" width="16.7109375" style="91" customWidth="1"/>
    <col min="5" max="5" width="16.8515625" style="91" customWidth="1"/>
    <col min="6" max="6" width="9.140625" style="91" customWidth="1"/>
    <col min="7" max="7" width="19.28125" style="91" customWidth="1"/>
    <col min="8" max="8" width="19.57421875" style="91" customWidth="1"/>
    <col min="9" max="9" width="16.28125" style="91" customWidth="1"/>
    <col min="10" max="10" width="17.28125" style="91" customWidth="1"/>
    <col min="11" max="11" width="18.00390625" style="91" customWidth="1"/>
    <col min="12" max="16384" width="9.140625" style="91" customWidth="1"/>
  </cols>
  <sheetData>
    <row r="1" spans="4:5" ht="27" customHeight="1">
      <c r="D1" s="1193" t="s">
        <v>553</v>
      </c>
      <c r="E1" s="1193"/>
    </row>
    <row r="2" spans="4:5" ht="27" customHeight="1">
      <c r="D2" s="249"/>
      <c r="E2" s="249"/>
    </row>
    <row r="3" spans="1:5" ht="27" customHeight="1">
      <c r="A3" s="1203" t="s">
        <v>1518</v>
      </c>
      <c r="B3" s="1230"/>
      <c r="C3" s="1230"/>
      <c r="D3" s="1230"/>
      <c r="E3" s="1230"/>
    </row>
    <row r="4" spans="1:5" ht="27" customHeight="1">
      <c r="A4" s="95"/>
      <c r="B4" s="95"/>
      <c r="C4" s="95"/>
      <c r="D4" s="95"/>
      <c r="E4" s="95"/>
    </row>
    <row r="5" spans="1:5" ht="27" customHeight="1">
      <c r="A5" s="1132" t="s">
        <v>893</v>
      </c>
      <c r="B5" s="1229"/>
      <c r="C5" s="1229"/>
      <c r="D5" s="1229"/>
      <c r="E5" s="1229"/>
    </row>
    <row r="6" spans="1:5" ht="27" customHeight="1">
      <c r="A6" s="1229"/>
      <c r="B6" s="1229"/>
      <c r="C6" s="1229"/>
      <c r="D6" s="1229"/>
      <c r="E6" s="1229"/>
    </row>
    <row r="7" spans="1:11" ht="27" customHeight="1">
      <c r="A7" s="250"/>
      <c r="B7" s="250"/>
      <c r="C7" s="250"/>
      <c r="D7" s="250"/>
      <c r="E7" s="250"/>
      <c r="K7" s="293" t="s">
        <v>1108</v>
      </c>
    </row>
    <row r="8" spans="4:11" ht="42.75" customHeight="1">
      <c r="D8" s="1228" t="s">
        <v>723</v>
      </c>
      <c r="E8" s="1228"/>
      <c r="G8" s="338"/>
      <c r="H8" s="216"/>
      <c r="I8" s="216"/>
      <c r="J8" s="216"/>
      <c r="K8" s="216"/>
    </row>
    <row r="9" spans="1:11" ht="54" customHeight="1">
      <c r="A9" s="263" t="s">
        <v>1037</v>
      </c>
      <c r="B9" s="264" t="s">
        <v>724</v>
      </c>
      <c r="C9" s="264" t="s">
        <v>874</v>
      </c>
      <c r="D9" s="264" t="s">
        <v>725</v>
      </c>
      <c r="E9" s="215" t="s">
        <v>726</v>
      </c>
      <c r="G9" s="338"/>
      <c r="H9" s="216"/>
      <c r="I9" s="216"/>
      <c r="J9" s="216"/>
      <c r="K9" s="216"/>
    </row>
    <row r="10" spans="1:11" ht="27" customHeight="1">
      <c r="A10" s="431" t="s">
        <v>871</v>
      </c>
      <c r="B10" s="576">
        <f>E10-D10-C10</f>
        <v>10780</v>
      </c>
      <c r="C10" s="576">
        <f>'Fejlesztési bevételek'!E32+'Fejlesztési bevételek'!E33</f>
        <v>20131</v>
      </c>
      <c r="D10" s="576">
        <f>'Fejlesztési bevételek'!E31</f>
        <v>71229</v>
      </c>
      <c r="E10" s="576">
        <f>4bm!F10</f>
        <v>102140</v>
      </c>
      <c r="G10" s="338"/>
      <c r="H10" s="216"/>
      <c r="I10" s="216"/>
      <c r="J10" s="216"/>
      <c r="K10" s="216"/>
    </row>
    <row r="11" spans="1:11" ht="27" customHeight="1">
      <c r="A11" s="431" t="s">
        <v>872</v>
      </c>
      <c r="B11" s="576">
        <v>0</v>
      </c>
      <c r="C11" s="576">
        <f>'Fejlesztési bevételek'!E26</f>
        <v>2995</v>
      </c>
      <c r="D11" s="576">
        <f>'Fejlesztési bevételek'!E25</f>
        <v>75524</v>
      </c>
      <c r="E11" s="576">
        <f>4bm!F11</f>
        <v>77233</v>
      </c>
      <c r="G11" s="338" t="s">
        <v>1038</v>
      </c>
      <c r="H11" s="216">
        <f>H8+H9+H10</f>
        <v>0</v>
      </c>
      <c r="I11" s="216">
        <f>H11*0.9</f>
        <v>0</v>
      </c>
      <c r="J11" s="216">
        <f>(H11-I11)*0.5</f>
        <v>0</v>
      </c>
      <c r="K11" s="216"/>
    </row>
    <row r="12" spans="1:5" ht="27" customHeight="1">
      <c r="A12" s="431" t="s">
        <v>870</v>
      </c>
      <c r="B12" s="576">
        <f>E12-D12-C12</f>
        <v>21803</v>
      </c>
      <c r="C12" s="576">
        <f>'Fejlesztési bevételek'!E29</f>
        <v>10984</v>
      </c>
      <c r="D12" s="576">
        <f>'Fejlesztési bevételek'!E28</f>
        <v>491325</v>
      </c>
      <c r="E12" s="576">
        <f>4bm!F12</f>
        <v>524112</v>
      </c>
    </row>
    <row r="13" spans="1:5" ht="27" customHeight="1">
      <c r="A13" s="431" t="s">
        <v>873</v>
      </c>
      <c r="B13" s="576">
        <f>E13-D13-C13</f>
        <v>17040</v>
      </c>
      <c r="C13" s="576">
        <f>'Fejlesztési bevételek'!E35</f>
        <v>5297</v>
      </c>
      <c r="D13" s="576">
        <f>'Fejlesztési bevételek'!E34</f>
        <v>22514</v>
      </c>
      <c r="E13" s="576">
        <f>4bm!F13</f>
        <v>44851</v>
      </c>
    </row>
    <row r="14" spans="1:5" s="90" customFormat="1" ht="27" customHeight="1">
      <c r="A14" s="692" t="s">
        <v>1487</v>
      </c>
      <c r="B14" s="693">
        <f>SUM(B10:B13)</f>
        <v>49623</v>
      </c>
      <c r="C14" s="693">
        <f>SUM(C10:C13)</f>
        <v>39407</v>
      </c>
      <c r="D14" s="693">
        <f>SUM(D10:D13)</f>
        <v>660592</v>
      </c>
      <c r="E14" s="693">
        <f>SUM(E10:E13)</f>
        <v>748336</v>
      </c>
    </row>
    <row r="16" spans="1:5" ht="48.75" customHeight="1">
      <c r="A16" s="1227"/>
      <c r="B16" s="1227"/>
      <c r="C16" s="1227"/>
      <c r="D16" s="1227"/>
      <c r="E16" s="1227"/>
    </row>
  </sheetData>
  <sheetProtection/>
  <mergeCells count="5">
    <mergeCell ref="A16:E16"/>
    <mergeCell ref="D8:E8"/>
    <mergeCell ref="A5:E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7">
      <selection activeCell="K11" sqref="K11"/>
    </sheetView>
  </sheetViews>
  <sheetFormatPr defaultColWidth="9.140625" defaultRowHeight="12.75"/>
  <cols>
    <col min="1" max="1" width="5.140625" style="0" customWidth="1"/>
    <col min="2" max="2" width="30.140625" style="0" customWidth="1"/>
    <col min="3" max="3" width="13.7109375" style="0" customWidth="1"/>
    <col min="4" max="4" width="14.421875" style="0" customWidth="1"/>
    <col min="5" max="5" width="15.00390625" style="0" customWidth="1"/>
    <col min="6" max="6" width="13.28125" style="0" customWidth="1"/>
    <col min="7" max="9" width="15.8515625" style="0" customWidth="1"/>
    <col min="10" max="10" width="15.140625" style="0" customWidth="1"/>
    <col min="11" max="11" width="15.57421875" style="0" customWidth="1"/>
  </cols>
  <sheetData>
    <row r="1" spans="1:11" ht="12.75">
      <c r="A1" s="25"/>
      <c r="B1" s="25"/>
      <c r="C1" s="25"/>
      <c r="D1" s="25"/>
      <c r="E1" s="25"/>
      <c r="F1" s="25"/>
      <c r="G1" s="25"/>
      <c r="H1" s="25"/>
      <c r="I1" s="1085"/>
      <c r="J1" s="873" t="s">
        <v>555</v>
      </c>
      <c r="K1" s="873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10"/>
      <c r="K2" s="10"/>
    </row>
    <row r="3" spans="1:11" ht="12.75">
      <c r="A3" s="1133" t="s">
        <v>1518</v>
      </c>
      <c r="B3" s="1133"/>
      <c r="C3" s="1133"/>
      <c r="D3" s="1133"/>
      <c r="E3" s="1133"/>
      <c r="F3" s="1133"/>
      <c r="G3" s="1133"/>
      <c r="H3" s="1133"/>
      <c r="I3" s="1133"/>
      <c r="J3" s="1133"/>
      <c r="K3" s="1133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">
      <c r="A6" s="1186" t="s">
        <v>1234</v>
      </c>
      <c r="B6" s="1186"/>
      <c r="C6" s="1186"/>
      <c r="D6" s="1186"/>
      <c r="E6" s="1186"/>
      <c r="F6" s="1186"/>
      <c r="G6" s="1186"/>
      <c r="H6" s="1186"/>
      <c r="I6" s="1186"/>
      <c r="J6" s="1186"/>
      <c r="K6" s="1186"/>
    </row>
    <row r="7" spans="1:11" ht="18">
      <c r="A7" s="1186" t="s">
        <v>1519</v>
      </c>
      <c r="B7" s="1186"/>
      <c r="C7" s="1186"/>
      <c r="D7" s="1186"/>
      <c r="E7" s="1186"/>
      <c r="F7" s="1186"/>
      <c r="G7" s="1186"/>
      <c r="H7" s="1186"/>
      <c r="I7" s="1186"/>
      <c r="J7" s="1186"/>
      <c r="K7" s="1186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8.7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31.5" customHeight="1">
      <c r="A12" s="211"/>
      <c r="B12" s="224"/>
      <c r="C12" s="1236" t="s">
        <v>343</v>
      </c>
      <c r="D12" s="1236"/>
      <c r="E12" s="1231" t="s">
        <v>344</v>
      </c>
      <c r="F12" s="1231"/>
      <c r="G12" s="1231" t="s">
        <v>345</v>
      </c>
      <c r="H12" s="1231"/>
      <c r="I12" s="1231" t="s">
        <v>1038</v>
      </c>
      <c r="J12" s="1231"/>
      <c r="K12" s="211"/>
    </row>
    <row r="13" spans="1:11" ht="15.75" customHeight="1">
      <c r="A13" s="223"/>
      <c r="B13" s="224" t="s">
        <v>1037</v>
      </c>
      <c r="C13" s="1112" t="s">
        <v>1534</v>
      </c>
      <c r="D13" s="1112" t="s">
        <v>1537</v>
      </c>
      <c r="E13" s="1112" t="s">
        <v>1534</v>
      </c>
      <c r="F13" s="1112" t="s">
        <v>1537</v>
      </c>
      <c r="G13" s="1112" t="s">
        <v>1534</v>
      </c>
      <c r="H13" s="1112" t="s">
        <v>1537</v>
      </c>
      <c r="I13" s="1109" t="s">
        <v>1534</v>
      </c>
      <c r="J13" s="1112" t="s">
        <v>1537</v>
      </c>
      <c r="K13" s="223"/>
    </row>
    <row r="14" spans="1:11" ht="15.75">
      <c r="A14" s="232"/>
      <c r="B14" s="234" t="s">
        <v>1252</v>
      </c>
      <c r="C14" s="1232"/>
      <c r="D14" s="1232"/>
      <c r="E14" s="1232"/>
      <c r="F14" s="1232"/>
      <c r="G14" s="1232"/>
      <c r="H14" s="1232"/>
      <c r="I14" s="1232"/>
      <c r="J14" s="1233"/>
      <c r="K14" s="232"/>
    </row>
    <row r="15" spans="1:11" ht="15.75">
      <c r="A15" s="236"/>
      <c r="B15" s="244" t="s">
        <v>1135</v>
      </c>
      <c r="C15" s="1089">
        <f aca="true" t="shared" si="0" ref="C15:D17">I15</f>
        <v>50864</v>
      </c>
      <c r="D15" s="1089">
        <f t="shared" si="0"/>
        <v>50864</v>
      </c>
      <c r="E15" s="244">
        <v>0</v>
      </c>
      <c r="F15" s="244">
        <v>0</v>
      </c>
      <c r="G15" s="244">
        <v>0</v>
      </c>
      <c r="H15" s="244">
        <v>0</v>
      </c>
      <c r="I15" s="271">
        <f>2bm!B8</f>
        <v>50864</v>
      </c>
      <c r="J15" s="271">
        <f>2bm!C8</f>
        <v>50864</v>
      </c>
      <c r="K15" s="236"/>
    </row>
    <row r="16" spans="1:11" ht="15.75">
      <c r="A16" s="236"/>
      <c r="B16" s="244" t="s">
        <v>1253</v>
      </c>
      <c r="C16" s="1089">
        <f t="shared" si="0"/>
        <v>13672</v>
      </c>
      <c r="D16" s="1089">
        <f t="shared" si="0"/>
        <v>13672</v>
      </c>
      <c r="E16" s="244">
        <v>0</v>
      </c>
      <c r="F16" s="244">
        <v>0</v>
      </c>
      <c r="G16" s="244">
        <v>0</v>
      </c>
      <c r="H16" s="244">
        <v>0</v>
      </c>
      <c r="I16" s="271">
        <f>2bm!D8</f>
        <v>13672</v>
      </c>
      <c r="J16" s="271">
        <f>2bm!E8</f>
        <v>13672</v>
      </c>
      <c r="K16" s="236"/>
    </row>
    <row r="17" spans="1:11" ht="15.75">
      <c r="A17" s="236"/>
      <c r="B17" s="244" t="s">
        <v>1254</v>
      </c>
      <c r="C17" s="1089">
        <f t="shared" si="0"/>
        <v>36744</v>
      </c>
      <c r="D17" s="1089">
        <f t="shared" si="0"/>
        <v>36744</v>
      </c>
      <c r="E17" s="244">
        <v>0</v>
      </c>
      <c r="F17" s="244">
        <v>0</v>
      </c>
      <c r="G17" s="244">
        <v>0</v>
      </c>
      <c r="H17" s="244">
        <v>0</v>
      </c>
      <c r="I17" s="271">
        <f>2bm!F8</f>
        <v>36744</v>
      </c>
      <c r="J17" s="271">
        <f>2bm!G8</f>
        <v>36744</v>
      </c>
      <c r="K17" s="236"/>
    </row>
    <row r="18" spans="1:11" ht="15.75">
      <c r="A18" s="236"/>
      <c r="B18" s="244" t="s">
        <v>1416</v>
      </c>
      <c r="C18" s="244"/>
      <c r="D18" s="244"/>
      <c r="E18" s="244"/>
      <c r="F18" s="244"/>
      <c r="G18" s="244"/>
      <c r="H18" s="244"/>
      <c r="I18" s="271">
        <f>2bm!H8</f>
        <v>0</v>
      </c>
      <c r="J18" s="271">
        <f>2bm!I8</f>
        <v>0</v>
      </c>
      <c r="K18" s="236"/>
    </row>
    <row r="19" spans="1:11" ht="15.75">
      <c r="A19" s="236"/>
      <c r="B19" s="244" t="s">
        <v>1255</v>
      </c>
      <c r="C19" s="244"/>
      <c r="D19" s="244"/>
      <c r="E19" s="244"/>
      <c r="F19" s="244"/>
      <c r="G19" s="244"/>
      <c r="H19" s="244"/>
      <c r="I19" s="271">
        <v>0</v>
      </c>
      <c r="J19" s="271">
        <v>0</v>
      </c>
      <c r="K19" s="236"/>
    </row>
    <row r="20" spans="1:11" ht="15.75">
      <c r="A20" s="223"/>
      <c r="B20" s="226" t="s">
        <v>1256</v>
      </c>
      <c r="C20" s="1090">
        <f>I20</f>
        <v>101280</v>
      </c>
      <c r="D20" s="1090">
        <f>J20</f>
        <v>101280</v>
      </c>
      <c r="E20" s="226">
        <v>0</v>
      </c>
      <c r="F20" s="226">
        <v>0</v>
      </c>
      <c r="G20" s="226">
        <v>0</v>
      </c>
      <c r="H20" s="226">
        <v>0</v>
      </c>
      <c r="I20" s="238">
        <f>SUM(I15:I19)</f>
        <v>101280</v>
      </c>
      <c r="J20" s="246">
        <f>SUM(J15:J19)</f>
        <v>101280</v>
      </c>
      <c r="K20" s="223"/>
    </row>
    <row r="21" spans="1:11" ht="15.75">
      <c r="A21" s="236"/>
      <c r="B21" s="1234"/>
      <c r="C21" s="1234"/>
      <c r="D21" s="1234"/>
      <c r="E21" s="1234"/>
      <c r="F21" s="1234"/>
      <c r="G21" s="1234"/>
      <c r="H21" s="1234"/>
      <c r="I21" s="1234"/>
      <c r="J21" s="1234"/>
      <c r="K21" s="236"/>
    </row>
    <row r="22" spans="1:11" ht="15.75">
      <c r="A22" s="236"/>
      <c r="B22" s="1235" t="s">
        <v>1257</v>
      </c>
      <c r="C22" s="1235"/>
      <c r="D22" s="1235"/>
      <c r="E22" s="1235"/>
      <c r="F22" s="1235"/>
      <c r="G22" s="1235"/>
      <c r="H22" s="1235"/>
      <c r="I22" s="1235"/>
      <c r="J22" s="1235"/>
      <c r="K22" s="236"/>
    </row>
    <row r="23" spans="1:11" ht="15.75">
      <c r="A23" s="236"/>
      <c r="B23" s="146" t="s">
        <v>1258</v>
      </c>
      <c r="C23" s="1092">
        <f>I23</f>
        <v>3246</v>
      </c>
      <c r="D23" s="1092">
        <f>J23</f>
        <v>3246</v>
      </c>
      <c r="E23" s="1092">
        <v>0</v>
      </c>
      <c r="F23" s="1092">
        <v>0</v>
      </c>
      <c r="G23" s="327">
        <v>0</v>
      </c>
      <c r="H23" s="327">
        <v>0</v>
      </c>
      <c r="I23" s="271">
        <f>1bm!B10</f>
        <v>3246</v>
      </c>
      <c r="J23" s="271">
        <f>1bm!C10</f>
        <v>3246</v>
      </c>
      <c r="K23" s="236"/>
    </row>
    <row r="24" spans="1:11" ht="15.75">
      <c r="A24" s="236"/>
      <c r="B24" s="244" t="s">
        <v>1420</v>
      </c>
      <c r="C24" s="244"/>
      <c r="D24" s="244"/>
      <c r="E24" s="244"/>
      <c r="F24" s="244"/>
      <c r="G24" s="244"/>
      <c r="H24" s="244"/>
      <c r="I24" s="271">
        <f>1bm!H10+1bm!J10</f>
        <v>0</v>
      </c>
      <c r="J24" s="271">
        <f>1bm!I10+1bm!K10</f>
        <v>0</v>
      </c>
      <c r="K24" s="236"/>
    </row>
    <row r="25" spans="1:11" ht="15.75">
      <c r="A25" s="236"/>
      <c r="B25" s="244" t="s">
        <v>1417</v>
      </c>
      <c r="C25" s="1089">
        <f>I25-E25</f>
        <v>98034</v>
      </c>
      <c r="D25" s="1089">
        <f>J25-F25</f>
        <v>98034</v>
      </c>
      <c r="E25" s="1089">
        <f>E23</f>
        <v>0</v>
      </c>
      <c r="F25" s="1089">
        <f>F23</f>
        <v>0</v>
      </c>
      <c r="G25" s="244">
        <v>0</v>
      </c>
      <c r="H25" s="244">
        <v>0</v>
      </c>
      <c r="I25" s="271">
        <f>I20-I23-I24</f>
        <v>98034</v>
      </c>
      <c r="J25" s="271">
        <f>J20-J23-J24</f>
        <v>98034</v>
      </c>
      <c r="K25" s="236"/>
    </row>
    <row r="26" spans="1:11" ht="15.75">
      <c r="A26" s="236"/>
      <c r="B26" s="244" t="s">
        <v>1418</v>
      </c>
      <c r="C26" s="244"/>
      <c r="D26" s="244"/>
      <c r="E26" s="244"/>
      <c r="F26" s="244"/>
      <c r="G26" s="244"/>
      <c r="H26" s="244"/>
      <c r="I26" s="271"/>
      <c r="J26" s="245"/>
      <c r="K26" s="236"/>
    </row>
    <row r="27" spans="1:11" ht="15.75">
      <c r="A27" s="236"/>
      <c r="B27" s="244" t="s">
        <v>1468</v>
      </c>
      <c r="C27" s="1089">
        <f>I27</f>
        <v>54964</v>
      </c>
      <c r="D27" s="1089">
        <f>J27</f>
        <v>54964</v>
      </c>
      <c r="E27" s="244">
        <v>0</v>
      </c>
      <c r="F27" s="244">
        <v>0</v>
      </c>
      <c r="G27" s="244">
        <v>0</v>
      </c>
      <c r="H27" s="244">
        <v>0</v>
      </c>
      <c r="I27" s="271">
        <v>54964</v>
      </c>
      <c r="J27" s="271">
        <v>54964</v>
      </c>
      <c r="K27" s="236"/>
    </row>
    <row r="28" spans="1:11" ht="15.75">
      <c r="A28" s="236"/>
      <c r="B28" s="244" t="s">
        <v>1419</v>
      </c>
      <c r="C28" s="244"/>
      <c r="D28" s="244"/>
      <c r="E28" s="244"/>
      <c r="F28" s="244"/>
      <c r="G28" s="244"/>
      <c r="H28" s="244"/>
      <c r="I28" s="271"/>
      <c r="J28" s="245"/>
      <c r="K28" s="236"/>
    </row>
    <row r="29" spans="1:11" ht="15.75">
      <c r="A29" s="236"/>
      <c r="B29" s="244" t="s">
        <v>1235</v>
      </c>
      <c r="C29" s="1089">
        <f>I29-E29</f>
        <v>43070</v>
      </c>
      <c r="D29" s="1089">
        <f>J29-F29</f>
        <v>43070</v>
      </c>
      <c r="E29" s="244">
        <v>0</v>
      </c>
      <c r="F29" s="244">
        <v>0</v>
      </c>
      <c r="G29" s="244">
        <v>0</v>
      </c>
      <c r="H29" s="244">
        <v>0</v>
      </c>
      <c r="I29" s="271">
        <f>I25-I27-I28</f>
        <v>43070</v>
      </c>
      <c r="J29" s="271">
        <f>J25-J27-J28</f>
        <v>43070</v>
      </c>
      <c r="K29" s="236"/>
    </row>
    <row r="30" spans="1:11" ht="15.75">
      <c r="A30" s="223"/>
      <c r="B30" s="226" t="s">
        <v>1261</v>
      </c>
      <c r="C30" s="1090">
        <f>C25+C23</f>
        <v>101280</v>
      </c>
      <c r="D30" s="1090">
        <f>D25+D23</f>
        <v>101280</v>
      </c>
      <c r="E30" s="1090">
        <f>E25</f>
        <v>0</v>
      </c>
      <c r="F30" s="1090">
        <f>F25</f>
        <v>0</v>
      </c>
      <c r="G30" s="226">
        <v>0</v>
      </c>
      <c r="H30" s="226">
        <v>0</v>
      </c>
      <c r="I30" s="238">
        <f>SUM(I23,I24,I25)</f>
        <v>101280</v>
      </c>
      <c r="J30" s="238">
        <f>SUM(J23,J24,J25)</f>
        <v>101280</v>
      </c>
      <c r="K30" s="223"/>
    </row>
  </sheetData>
  <sheetProtection/>
  <mergeCells count="10">
    <mergeCell ref="E12:F12"/>
    <mergeCell ref="C14:J14"/>
    <mergeCell ref="B21:J21"/>
    <mergeCell ref="B22:J22"/>
    <mergeCell ref="A3:K3"/>
    <mergeCell ref="A6:K6"/>
    <mergeCell ref="A7:K7"/>
    <mergeCell ref="C12:D12"/>
    <mergeCell ref="I12:J12"/>
    <mergeCell ref="G12:H12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0">
      <selection activeCell="G34" sqref="G34"/>
    </sheetView>
  </sheetViews>
  <sheetFormatPr defaultColWidth="9.140625" defaultRowHeight="12.75"/>
  <cols>
    <col min="1" max="1" width="9.8515625" style="0" customWidth="1"/>
    <col min="2" max="2" width="28.421875" style="0" customWidth="1"/>
    <col min="3" max="4" width="15.28125" style="0" customWidth="1"/>
    <col min="5" max="5" width="15.00390625" style="0" customWidth="1"/>
    <col min="6" max="6" width="13.421875" style="0" customWidth="1"/>
    <col min="7" max="7" width="16.421875" style="0" customWidth="1"/>
    <col min="8" max="8" width="14.00390625" style="0" customWidth="1"/>
    <col min="9" max="9" width="15.28125" style="0" customWidth="1"/>
    <col min="10" max="10" width="13.57421875" style="0" customWidth="1"/>
    <col min="11" max="11" width="9.00390625" style="0" customWidth="1"/>
  </cols>
  <sheetData>
    <row r="1" spans="1:11" ht="12.75">
      <c r="A1" s="25"/>
      <c r="B1" s="25"/>
      <c r="C1" s="25"/>
      <c r="D1" s="25"/>
      <c r="E1" s="25"/>
      <c r="F1" s="25"/>
      <c r="G1" s="25"/>
      <c r="H1" s="25"/>
      <c r="I1" s="1085"/>
      <c r="J1" s="873" t="s">
        <v>1306</v>
      </c>
      <c r="K1" s="873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10"/>
      <c r="K2" s="10"/>
    </row>
    <row r="3" spans="1:11" ht="12.75">
      <c r="A3" s="1133" t="s">
        <v>1518</v>
      </c>
      <c r="B3" s="1133"/>
      <c r="C3" s="1133"/>
      <c r="D3" s="1133"/>
      <c r="E3" s="1133"/>
      <c r="F3" s="1133"/>
      <c r="G3" s="1133"/>
      <c r="H3" s="1133"/>
      <c r="I3" s="1133"/>
      <c r="J3" s="1133"/>
      <c r="K3" s="1133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">
      <c r="A6" s="1186" t="s">
        <v>894</v>
      </c>
      <c r="B6" s="1186"/>
      <c r="C6" s="1186"/>
      <c r="D6" s="1186"/>
      <c r="E6" s="1186"/>
      <c r="F6" s="1186"/>
      <c r="G6" s="1186"/>
      <c r="H6" s="1186"/>
      <c r="I6" s="1186"/>
      <c r="J6" s="1186"/>
      <c r="K6" s="1186"/>
    </row>
    <row r="7" spans="1:11" ht="18">
      <c r="A7" s="1186" t="s">
        <v>1519</v>
      </c>
      <c r="B7" s="1186"/>
      <c r="C7" s="1186"/>
      <c r="D7" s="1186"/>
      <c r="E7" s="1186"/>
      <c r="F7" s="1186"/>
      <c r="G7" s="1186"/>
      <c r="H7" s="1186"/>
      <c r="I7" s="1186"/>
      <c r="J7" s="1186"/>
      <c r="K7" s="1186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8.7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12.75">
      <c r="A12" s="211"/>
      <c r="B12" s="211"/>
      <c r="C12" s="211"/>
      <c r="D12" s="211"/>
      <c r="E12" s="211"/>
      <c r="F12" s="211"/>
      <c r="G12" s="211"/>
      <c r="H12" s="211"/>
      <c r="J12" s="1113" t="s">
        <v>161</v>
      </c>
      <c r="K12" s="211"/>
    </row>
    <row r="13" spans="1:11" ht="37.5" customHeight="1">
      <c r="A13" s="211"/>
      <c r="B13" s="1114"/>
      <c r="C13" s="1236" t="s">
        <v>343</v>
      </c>
      <c r="D13" s="1236"/>
      <c r="E13" s="1237" t="s">
        <v>344</v>
      </c>
      <c r="F13" s="1238"/>
      <c r="G13" s="1237" t="s">
        <v>345</v>
      </c>
      <c r="H13" s="1238"/>
      <c r="I13" s="1237" t="s">
        <v>1038</v>
      </c>
      <c r="J13" s="1238"/>
      <c r="K13" s="211"/>
    </row>
    <row r="14" spans="1:11" ht="31.5" customHeight="1">
      <c r="A14" s="223"/>
      <c r="B14" s="224" t="s">
        <v>1037</v>
      </c>
      <c r="C14" s="1112" t="s">
        <v>1538</v>
      </c>
      <c r="D14" s="1112" t="s">
        <v>1537</v>
      </c>
      <c r="E14" s="1112" t="s">
        <v>1534</v>
      </c>
      <c r="F14" s="1112" t="s">
        <v>1537</v>
      </c>
      <c r="G14" s="1112" t="s">
        <v>1534</v>
      </c>
      <c r="H14" s="1112" t="s">
        <v>1537</v>
      </c>
      <c r="I14" s="1112" t="s">
        <v>1534</v>
      </c>
      <c r="J14" s="243" t="s">
        <v>280</v>
      </c>
      <c r="K14" s="223"/>
    </row>
    <row r="15" spans="1:11" ht="15.75">
      <c r="A15" s="232"/>
      <c r="B15" s="234" t="s">
        <v>1252</v>
      </c>
      <c r="C15" s="1200"/>
      <c r="D15" s="1200"/>
      <c r="E15" s="1200"/>
      <c r="F15" s="1200"/>
      <c r="G15" s="1200"/>
      <c r="H15" s="1200"/>
      <c r="I15" s="1200"/>
      <c r="J15" s="1201"/>
      <c r="K15" s="232"/>
    </row>
    <row r="16" spans="1:11" ht="15.75">
      <c r="A16" s="236"/>
      <c r="B16" s="244" t="s">
        <v>1135</v>
      </c>
      <c r="C16" s="1089">
        <f aca="true" t="shared" si="0" ref="C16:D21">I16</f>
        <v>35525</v>
      </c>
      <c r="D16" s="1089">
        <f t="shared" si="0"/>
        <v>35525</v>
      </c>
      <c r="E16" s="244">
        <v>0</v>
      </c>
      <c r="F16" s="244">
        <v>0</v>
      </c>
      <c r="G16" s="244">
        <v>0</v>
      </c>
      <c r="H16" s="244">
        <v>0</v>
      </c>
      <c r="I16" s="271">
        <f>2bm!B13</f>
        <v>35525</v>
      </c>
      <c r="J16" s="271">
        <f>2bm!C13</f>
        <v>35525</v>
      </c>
      <c r="K16" s="236"/>
    </row>
    <row r="17" spans="1:11" ht="15.75">
      <c r="A17" s="236"/>
      <c r="B17" s="244" t="s">
        <v>1253</v>
      </c>
      <c r="C17" s="1089">
        <f t="shared" si="0"/>
        <v>9545</v>
      </c>
      <c r="D17" s="1089">
        <f t="shared" si="0"/>
        <v>9545</v>
      </c>
      <c r="E17" s="244">
        <v>0</v>
      </c>
      <c r="F17" s="244">
        <v>0</v>
      </c>
      <c r="G17" s="244">
        <v>0</v>
      </c>
      <c r="H17" s="244">
        <v>0</v>
      </c>
      <c r="I17" s="271">
        <f>2bm!D13</f>
        <v>9545</v>
      </c>
      <c r="J17" s="271">
        <f>2bm!E13</f>
        <v>9545</v>
      </c>
      <c r="K17" s="236"/>
    </row>
    <row r="18" spans="1:11" ht="15.75">
      <c r="A18" s="236"/>
      <c r="B18" s="244" t="s">
        <v>1254</v>
      </c>
      <c r="C18" s="1089">
        <f>I18</f>
        <v>32486</v>
      </c>
      <c r="D18" s="1089">
        <f>J18</f>
        <v>32486</v>
      </c>
      <c r="E18" s="244">
        <v>0</v>
      </c>
      <c r="F18" s="244">
        <v>0</v>
      </c>
      <c r="G18" s="244">
        <v>0</v>
      </c>
      <c r="H18" s="244">
        <v>0</v>
      </c>
      <c r="I18" s="271">
        <f>2bm!F13</f>
        <v>32486</v>
      </c>
      <c r="J18" s="271">
        <f>2bm!G13</f>
        <v>32486</v>
      </c>
      <c r="K18" s="236"/>
    </row>
    <row r="19" spans="1:11" ht="15.75">
      <c r="A19" s="236"/>
      <c r="B19" s="244" t="s">
        <v>1416</v>
      </c>
      <c r="C19" s="1089">
        <f t="shared" si="0"/>
        <v>0</v>
      </c>
      <c r="D19" s="1089">
        <f t="shared" si="0"/>
        <v>0</v>
      </c>
      <c r="E19" s="244">
        <v>0</v>
      </c>
      <c r="F19" s="244">
        <v>0</v>
      </c>
      <c r="G19" s="244">
        <v>0</v>
      </c>
      <c r="H19" s="244">
        <v>0</v>
      </c>
      <c r="I19" s="271">
        <f>2bm!H13</f>
        <v>0</v>
      </c>
      <c r="J19" s="271">
        <f>2bm!I13</f>
        <v>0</v>
      </c>
      <c r="K19" s="236"/>
    </row>
    <row r="20" spans="1:11" ht="15.75">
      <c r="A20" s="236"/>
      <c r="B20" s="244" t="s">
        <v>1255</v>
      </c>
      <c r="C20" s="1089">
        <f t="shared" si="0"/>
        <v>0</v>
      </c>
      <c r="D20" s="1089">
        <f t="shared" si="0"/>
        <v>0</v>
      </c>
      <c r="E20" s="244">
        <v>0</v>
      </c>
      <c r="F20" s="244">
        <v>0</v>
      </c>
      <c r="G20" s="244">
        <v>0</v>
      </c>
      <c r="H20" s="244">
        <v>0</v>
      </c>
      <c r="I20" s="271">
        <f>2bm!J13+2bm!L13</f>
        <v>0</v>
      </c>
      <c r="J20" s="271">
        <f>2bm!K13+2bm!M13</f>
        <v>0</v>
      </c>
      <c r="K20" s="236"/>
    </row>
    <row r="21" spans="1:11" ht="15.75">
      <c r="A21" s="223"/>
      <c r="B21" s="226" t="s">
        <v>1256</v>
      </c>
      <c r="C21" s="1090">
        <f t="shared" si="0"/>
        <v>77556</v>
      </c>
      <c r="D21" s="1090">
        <f t="shared" si="0"/>
        <v>77556</v>
      </c>
      <c r="E21" s="226">
        <v>0</v>
      </c>
      <c r="F21" s="226">
        <v>0</v>
      </c>
      <c r="G21" s="226">
        <v>0</v>
      </c>
      <c r="H21" s="226">
        <v>0</v>
      </c>
      <c r="I21" s="238">
        <f>SUM(I16:I20)</f>
        <v>77556</v>
      </c>
      <c r="J21" s="238">
        <f>SUM(J16:J20)</f>
        <v>77556</v>
      </c>
      <c r="K21" s="223"/>
    </row>
    <row r="22" spans="1:11" ht="15.75">
      <c r="A22" s="236"/>
      <c r="B22" s="1234"/>
      <c r="C22" s="1234"/>
      <c r="D22" s="1234"/>
      <c r="E22" s="1234"/>
      <c r="F22" s="1234"/>
      <c r="G22" s="1234"/>
      <c r="H22" s="1234"/>
      <c r="I22" s="1234"/>
      <c r="J22" s="1234"/>
      <c r="K22" s="236"/>
    </row>
    <row r="23" spans="1:11" ht="15.75">
      <c r="A23" s="236"/>
      <c r="B23" s="1235" t="s">
        <v>1257</v>
      </c>
      <c r="C23" s="1235"/>
      <c r="D23" s="1235"/>
      <c r="E23" s="1235"/>
      <c r="F23" s="1235"/>
      <c r="G23" s="1235"/>
      <c r="H23" s="1235"/>
      <c r="I23" s="1235"/>
      <c r="J23" s="1235"/>
      <c r="K23" s="236"/>
    </row>
    <row r="24" spans="1:11" ht="15.75">
      <c r="A24" s="236"/>
      <c r="B24" s="146" t="s">
        <v>1258</v>
      </c>
      <c r="C24" s="1092">
        <f>I24</f>
        <v>27434</v>
      </c>
      <c r="D24" s="1092">
        <f>J24</f>
        <v>27434</v>
      </c>
      <c r="E24" s="327">
        <v>0</v>
      </c>
      <c r="F24" s="327">
        <v>0</v>
      </c>
      <c r="G24" s="327">
        <v>0</v>
      </c>
      <c r="H24" s="327">
        <v>0</v>
      </c>
      <c r="I24" s="271">
        <f>1bm!B15</f>
        <v>27434</v>
      </c>
      <c r="J24" s="271">
        <f>1bm!C15</f>
        <v>27434</v>
      </c>
      <c r="K24" s="236"/>
    </row>
    <row r="25" spans="1:11" ht="15.75">
      <c r="A25" s="236"/>
      <c r="B25" s="244" t="s">
        <v>1420</v>
      </c>
      <c r="C25" s="1092">
        <f aca="true" t="shared" si="1" ref="C25:D32">I25</f>
        <v>0</v>
      </c>
      <c r="D25" s="1092">
        <f t="shared" si="1"/>
        <v>0</v>
      </c>
      <c r="E25" s="327">
        <v>0</v>
      </c>
      <c r="F25" s="327">
        <v>0</v>
      </c>
      <c r="G25" s="327">
        <v>0</v>
      </c>
      <c r="H25" s="327">
        <v>0</v>
      </c>
      <c r="I25" s="271">
        <f>1bm!H15</f>
        <v>0</v>
      </c>
      <c r="J25" s="271">
        <f>1bm!I15</f>
        <v>0</v>
      </c>
      <c r="K25" s="236"/>
    </row>
    <row r="26" spans="1:11" ht="15.75">
      <c r="A26" s="236"/>
      <c r="B26" s="244" t="s">
        <v>1417</v>
      </c>
      <c r="C26" s="1092">
        <f t="shared" si="1"/>
        <v>50122</v>
      </c>
      <c r="D26" s="1092">
        <f t="shared" si="1"/>
        <v>50122</v>
      </c>
      <c r="E26" s="327">
        <v>0</v>
      </c>
      <c r="F26" s="327">
        <v>0</v>
      </c>
      <c r="G26" s="327">
        <v>0</v>
      </c>
      <c r="H26" s="327">
        <v>0</v>
      </c>
      <c r="I26" s="271">
        <f>I21-I24-I25</f>
        <v>50122</v>
      </c>
      <c r="J26" s="271">
        <f>J21-J24-J25</f>
        <v>50122</v>
      </c>
      <c r="K26" s="236"/>
    </row>
    <row r="27" spans="1:11" ht="15.75">
      <c r="A27" s="236"/>
      <c r="B27" s="244" t="s">
        <v>1418</v>
      </c>
      <c r="C27" s="1092"/>
      <c r="D27" s="1092"/>
      <c r="E27" s="327"/>
      <c r="F27" s="327"/>
      <c r="G27" s="327"/>
      <c r="H27" s="327"/>
      <c r="I27" s="271"/>
      <c r="J27" s="245"/>
      <c r="K27" s="236"/>
    </row>
    <row r="28" spans="1:11" ht="15.75">
      <c r="A28" s="236"/>
      <c r="B28" s="244" t="s">
        <v>331</v>
      </c>
      <c r="C28" s="1092">
        <f t="shared" si="1"/>
        <v>9688</v>
      </c>
      <c r="D28" s="1092">
        <f t="shared" si="1"/>
        <v>9688</v>
      </c>
      <c r="E28" s="327">
        <v>0</v>
      </c>
      <c r="F28" s="327">
        <v>0</v>
      </c>
      <c r="G28" s="327">
        <v>0</v>
      </c>
      <c r="H28" s="327">
        <v>0</v>
      </c>
      <c r="I28" s="271">
        <v>9688</v>
      </c>
      <c r="J28" s="271">
        <v>9688</v>
      </c>
      <c r="K28" s="236"/>
    </row>
    <row r="29" spans="1:11" ht="15.75">
      <c r="A29" s="236"/>
      <c r="B29" s="244" t="s">
        <v>332</v>
      </c>
      <c r="C29" s="1092">
        <f t="shared" si="1"/>
        <v>15950</v>
      </c>
      <c r="D29" s="1092">
        <f t="shared" si="1"/>
        <v>15950</v>
      </c>
      <c r="E29" s="327">
        <v>0</v>
      </c>
      <c r="F29" s="327">
        <v>0</v>
      </c>
      <c r="G29" s="327">
        <v>0</v>
      </c>
      <c r="H29" s="327">
        <v>0</v>
      </c>
      <c r="I29" s="271">
        <v>15950</v>
      </c>
      <c r="J29" s="271">
        <v>15950</v>
      </c>
      <c r="K29" s="236"/>
    </row>
    <row r="30" spans="1:11" ht="15.75">
      <c r="A30" s="236"/>
      <c r="B30" s="244" t="s">
        <v>333</v>
      </c>
      <c r="C30" s="1092">
        <f t="shared" si="1"/>
        <v>4796</v>
      </c>
      <c r="D30" s="1092">
        <f t="shared" si="1"/>
        <v>4796</v>
      </c>
      <c r="E30" s="327">
        <v>0</v>
      </c>
      <c r="F30" s="327">
        <v>0</v>
      </c>
      <c r="G30" s="327">
        <v>0</v>
      </c>
      <c r="H30" s="327">
        <v>0</v>
      </c>
      <c r="I30" s="271">
        <v>4796</v>
      </c>
      <c r="J30" s="271">
        <v>4796</v>
      </c>
      <c r="K30" s="236"/>
    </row>
    <row r="31" spans="1:11" ht="15.75">
      <c r="A31" s="236"/>
      <c r="B31" s="244" t="s">
        <v>1233</v>
      </c>
      <c r="C31" s="1092">
        <f t="shared" si="1"/>
        <v>4941</v>
      </c>
      <c r="D31" s="1092">
        <f t="shared" si="1"/>
        <v>4941</v>
      </c>
      <c r="E31" s="327">
        <v>0</v>
      </c>
      <c r="F31" s="327">
        <v>0</v>
      </c>
      <c r="G31" s="327">
        <v>0</v>
      </c>
      <c r="H31" s="327">
        <v>0</v>
      </c>
      <c r="I31" s="271">
        <v>4941</v>
      </c>
      <c r="J31" s="271">
        <v>4941</v>
      </c>
      <c r="K31" s="236"/>
    </row>
    <row r="32" spans="1:11" ht="15.75">
      <c r="A32" s="223"/>
      <c r="B32" s="226" t="s">
        <v>1261</v>
      </c>
      <c r="C32" s="1093">
        <f t="shared" si="1"/>
        <v>77556</v>
      </c>
      <c r="D32" s="1093">
        <f t="shared" si="1"/>
        <v>77556</v>
      </c>
      <c r="E32" s="226">
        <v>0</v>
      </c>
      <c r="F32" s="226">
        <v>0</v>
      </c>
      <c r="G32" s="226">
        <v>0</v>
      </c>
      <c r="H32" s="226">
        <v>0</v>
      </c>
      <c r="I32" s="238">
        <f>SUM(I24,I25,I26)</f>
        <v>77556</v>
      </c>
      <c r="J32" s="238">
        <f>SUM(J24,J25,J26)</f>
        <v>77556</v>
      </c>
      <c r="K32" s="223"/>
    </row>
  </sheetData>
  <sheetProtection/>
  <mergeCells count="10">
    <mergeCell ref="G13:H13"/>
    <mergeCell ref="I13:J13"/>
    <mergeCell ref="B22:J22"/>
    <mergeCell ref="B23:J23"/>
    <mergeCell ref="A3:K3"/>
    <mergeCell ref="A6:K6"/>
    <mergeCell ref="A7:K7"/>
    <mergeCell ref="C13:D13"/>
    <mergeCell ref="C15:J15"/>
    <mergeCell ref="E13:F1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7">
      <selection activeCell="C31" sqref="C31:D31"/>
    </sheetView>
  </sheetViews>
  <sheetFormatPr defaultColWidth="9.140625" defaultRowHeight="12.75"/>
  <cols>
    <col min="2" max="2" width="31.8515625" style="0" customWidth="1"/>
    <col min="3" max="4" width="15.28125" style="0" customWidth="1"/>
    <col min="5" max="6" width="15.00390625" style="0" customWidth="1"/>
    <col min="7" max="8" width="17.28125" style="0" customWidth="1"/>
    <col min="9" max="9" width="14.28125" style="0" customWidth="1"/>
    <col min="10" max="10" width="15.28125" style="0" customWidth="1"/>
    <col min="11" max="11" width="14.421875" style="0" customWidth="1"/>
  </cols>
  <sheetData>
    <row r="1" spans="9:12" ht="12.75">
      <c r="I1" s="1129" t="s">
        <v>1415</v>
      </c>
      <c r="J1" s="1129"/>
      <c r="K1" s="1129"/>
      <c r="L1" s="1129"/>
    </row>
    <row r="3" spans="1:12" ht="12.75">
      <c r="A3" s="25"/>
      <c r="B3" s="1133" t="s">
        <v>1518</v>
      </c>
      <c r="C3" s="1133"/>
      <c r="D3" s="1133"/>
      <c r="E3" s="1133"/>
      <c r="F3" s="1133"/>
      <c r="G3" s="1133"/>
      <c r="H3" s="1133"/>
      <c r="I3" s="1133"/>
      <c r="J3" s="32"/>
      <c r="K3" s="32"/>
      <c r="L3" s="32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">
      <c r="A5" s="1186" t="s">
        <v>714</v>
      </c>
      <c r="B5" s="1186"/>
      <c r="C5" s="1186"/>
      <c r="D5" s="1186"/>
      <c r="E5" s="1186"/>
      <c r="F5" s="1186"/>
      <c r="G5" s="1186"/>
      <c r="H5" s="1186"/>
      <c r="I5" s="1186"/>
      <c r="J5" s="1186"/>
      <c r="K5" s="1186"/>
    </row>
    <row r="6" spans="1:11" ht="18">
      <c r="A6" s="1186" t="s">
        <v>1519</v>
      </c>
      <c r="B6" s="1186"/>
      <c r="C6" s="1186"/>
      <c r="D6" s="1186"/>
      <c r="E6" s="1186"/>
      <c r="F6" s="1186"/>
      <c r="G6" s="1186"/>
      <c r="H6" s="1186"/>
      <c r="I6" s="1186"/>
      <c r="J6" s="1186"/>
      <c r="K6" s="1186"/>
    </row>
    <row r="7" spans="1:11" ht="18.7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1202" t="s">
        <v>161</v>
      </c>
      <c r="J11" s="1202"/>
      <c r="K11" s="211"/>
    </row>
    <row r="12" spans="1:11" ht="15.75">
      <c r="A12" s="211"/>
      <c r="B12" s="224"/>
      <c r="C12" s="1236" t="s">
        <v>343</v>
      </c>
      <c r="D12" s="1236"/>
      <c r="E12" s="1231" t="s">
        <v>344</v>
      </c>
      <c r="F12" s="1231"/>
      <c r="G12" s="1231" t="s">
        <v>345</v>
      </c>
      <c r="H12" s="1231"/>
      <c r="I12" s="1237" t="s">
        <v>1038</v>
      </c>
      <c r="J12" s="1238"/>
      <c r="K12" s="1115"/>
    </row>
    <row r="13" spans="1:11" ht="31.5" customHeight="1">
      <c r="A13" s="223"/>
      <c r="B13" s="224" t="s">
        <v>1037</v>
      </c>
      <c r="C13" s="1112" t="s">
        <v>1538</v>
      </c>
      <c r="D13" s="1112" t="s">
        <v>1537</v>
      </c>
      <c r="E13" s="1112" t="s">
        <v>1534</v>
      </c>
      <c r="F13" s="1112" t="s">
        <v>1537</v>
      </c>
      <c r="G13" s="1112" t="s">
        <v>1534</v>
      </c>
      <c r="H13" s="1112" t="s">
        <v>1537</v>
      </c>
      <c r="I13" s="1112" t="s">
        <v>1534</v>
      </c>
      <c r="J13" s="243" t="s">
        <v>280</v>
      </c>
      <c r="K13" s="1118"/>
    </row>
    <row r="14" spans="1:11" ht="15.75">
      <c r="A14" s="232"/>
      <c r="B14" s="234" t="s">
        <v>1252</v>
      </c>
      <c r="C14" s="1200"/>
      <c r="D14" s="1200"/>
      <c r="E14" s="1200"/>
      <c r="F14" s="1200"/>
      <c r="G14" s="1200"/>
      <c r="H14" s="1200"/>
      <c r="I14" s="1200"/>
      <c r="J14" s="1201"/>
      <c r="K14" s="1116"/>
    </row>
    <row r="15" spans="1:17" ht="15.75">
      <c r="A15" s="236"/>
      <c r="B15" s="244" t="s">
        <v>1135</v>
      </c>
      <c r="C15" s="244">
        <f>9830+6544</f>
        <v>16374</v>
      </c>
      <c r="D15" s="244">
        <f>9830+6544</f>
        <v>16374</v>
      </c>
      <c r="E15" s="1089">
        <f aca="true" t="shared" si="0" ref="E15:F17">I15-C15</f>
        <v>3754</v>
      </c>
      <c r="F15" s="1089">
        <f t="shared" si="0"/>
        <v>3754</v>
      </c>
      <c r="G15" s="244"/>
      <c r="H15" s="244"/>
      <c r="I15" s="271">
        <f>2bm!B9</f>
        <v>20128</v>
      </c>
      <c r="J15" s="271">
        <f>2bm!C9</f>
        <v>20128</v>
      </c>
      <c r="K15" s="1117"/>
      <c r="M15">
        <v>2054</v>
      </c>
      <c r="N15">
        <v>9830</v>
      </c>
      <c r="O15">
        <v>1700</v>
      </c>
      <c r="P15">
        <v>6544</v>
      </c>
      <c r="Q15">
        <f>SUM(M15:P15)</f>
        <v>20128</v>
      </c>
    </row>
    <row r="16" spans="1:17" ht="15.75">
      <c r="A16" s="236"/>
      <c r="B16" s="244" t="s">
        <v>1253</v>
      </c>
      <c r="C16" s="244">
        <f>2618+1672</f>
        <v>4290</v>
      </c>
      <c r="D16" s="244">
        <f>2618+1672</f>
        <v>4290</v>
      </c>
      <c r="E16" s="1089">
        <f t="shared" si="0"/>
        <v>890</v>
      </c>
      <c r="F16" s="1089">
        <f t="shared" si="0"/>
        <v>890</v>
      </c>
      <c r="G16" s="244"/>
      <c r="H16" s="244"/>
      <c r="I16" s="271">
        <f>2bm!D9</f>
        <v>5180</v>
      </c>
      <c r="J16" s="271">
        <f>2bm!E9</f>
        <v>5180</v>
      </c>
      <c r="K16" s="1117"/>
      <c r="M16">
        <v>466</v>
      </c>
      <c r="N16">
        <v>2618</v>
      </c>
      <c r="O16">
        <v>424</v>
      </c>
      <c r="P16">
        <v>1672</v>
      </c>
      <c r="Q16">
        <f>SUM(M16:P16)</f>
        <v>5180</v>
      </c>
    </row>
    <row r="17" spans="1:17" ht="15.75">
      <c r="A17" s="236"/>
      <c r="B17" s="244" t="s">
        <v>1254</v>
      </c>
      <c r="C17" s="244">
        <f>4969-3681</f>
        <v>1288</v>
      </c>
      <c r="D17" s="244">
        <f>4969-3681</f>
        <v>1288</v>
      </c>
      <c r="E17" s="1089">
        <f t="shared" si="0"/>
        <v>10546</v>
      </c>
      <c r="F17" s="1089">
        <f t="shared" si="0"/>
        <v>10546</v>
      </c>
      <c r="G17" s="244"/>
      <c r="H17" s="244"/>
      <c r="I17" s="271">
        <f>2bm!F9</f>
        <v>11834</v>
      </c>
      <c r="J17" s="271">
        <f>2bm!G9</f>
        <v>11834</v>
      </c>
      <c r="K17" s="236"/>
      <c r="M17">
        <v>2755</v>
      </c>
      <c r="N17">
        <v>5535</v>
      </c>
      <c r="O17">
        <v>576</v>
      </c>
      <c r="P17">
        <v>3681</v>
      </c>
      <c r="Q17">
        <f>SUM(M17:P17)</f>
        <v>12547</v>
      </c>
    </row>
    <row r="18" spans="1:17" ht="15.75">
      <c r="A18" s="236"/>
      <c r="B18" s="244" t="s">
        <v>1416</v>
      </c>
      <c r="C18" s="244"/>
      <c r="D18" s="244"/>
      <c r="E18" s="244"/>
      <c r="F18" s="244"/>
      <c r="G18" s="244"/>
      <c r="H18" s="244"/>
      <c r="I18" s="271">
        <v>0</v>
      </c>
      <c r="J18" s="271">
        <v>0</v>
      </c>
      <c r="K18" s="236"/>
      <c r="P18">
        <f>SUM(P15:P17)</f>
        <v>11897</v>
      </c>
      <c r="Q18">
        <f>SUM(Q15:Q17)</f>
        <v>37855</v>
      </c>
    </row>
    <row r="19" spans="1:11" ht="15.75">
      <c r="A19" s="236"/>
      <c r="B19" s="244" t="s">
        <v>1255</v>
      </c>
      <c r="C19" s="244"/>
      <c r="D19" s="244"/>
      <c r="E19" s="244"/>
      <c r="F19" s="244"/>
      <c r="G19" s="244"/>
      <c r="H19" s="244"/>
      <c r="I19" s="271">
        <v>0</v>
      </c>
      <c r="J19" s="271">
        <v>0</v>
      </c>
      <c r="K19" s="236"/>
    </row>
    <row r="20" spans="1:11" ht="15.75">
      <c r="A20" s="236"/>
      <c r="B20" s="244" t="s">
        <v>837</v>
      </c>
      <c r="C20" s="244">
        <v>5000</v>
      </c>
      <c r="D20" s="244">
        <v>5000</v>
      </c>
      <c r="E20" s="244"/>
      <c r="F20" s="244"/>
      <c r="G20" s="244"/>
      <c r="H20" s="244"/>
      <c r="I20" s="271">
        <v>5000</v>
      </c>
      <c r="J20" s="271">
        <v>5000</v>
      </c>
      <c r="K20" s="236"/>
    </row>
    <row r="21" spans="1:11" ht="15.75">
      <c r="A21" s="223"/>
      <c r="B21" s="226" t="s">
        <v>1256</v>
      </c>
      <c r="C21" s="226">
        <f>SUM(C15:C20)</f>
        <v>26952</v>
      </c>
      <c r="D21" s="226">
        <f>SUM(D15:D20)</f>
        <v>26952</v>
      </c>
      <c r="E21" s="226">
        <f>SUM(E15:E20)</f>
        <v>15190</v>
      </c>
      <c r="F21" s="226">
        <f>SUM(F15:F20)</f>
        <v>15190</v>
      </c>
      <c r="G21" s="226"/>
      <c r="H21" s="226"/>
      <c r="I21" s="238">
        <f>SUM(I15:I20)</f>
        <v>42142</v>
      </c>
      <c r="J21" s="238">
        <f>SUM(J15:J20)</f>
        <v>42142</v>
      </c>
      <c r="K21" s="223"/>
    </row>
    <row r="22" spans="1:11" ht="15.75">
      <c r="A22" s="236"/>
      <c r="B22" s="1234"/>
      <c r="C22" s="1234"/>
      <c r="D22" s="1234"/>
      <c r="E22" s="1234"/>
      <c r="F22" s="1234"/>
      <c r="G22" s="1234"/>
      <c r="H22" s="1234"/>
      <c r="I22" s="1234"/>
      <c r="J22" s="1234"/>
      <c r="K22" s="236"/>
    </row>
    <row r="23" spans="1:11" ht="15.75">
      <c r="A23" s="236"/>
      <c r="B23" s="1235" t="s">
        <v>1257</v>
      </c>
      <c r="C23" s="1235"/>
      <c r="D23" s="1235"/>
      <c r="E23" s="1235"/>
      <c r="F23" s="1235"/>
      <c r="G23" s="1235"/>
      <c r="H23" s="1235"/>
      <c r="I23" s="1235"/>
      <c r="J23" s="1235"/>
      <c r="K23" s="236"/>
    </row>
    <row r="24" spans="1:11" ht="15.75">
      <c r="A24" s="236"/>
      <c r="B24" s="146" t="s">
        <v>1258</v>
      </c>
      <c r="C24" s="327">
        <v>1000</v>
      </c>
      <c r="D24" s="327">
        <v>1000</v>
      </c>
      <c r="E24" s="327">
        <v>100</v>
      </c>
      <c r="F24" s="327">
        <v>100</v>
      </c>
      <c r="G24" s="146"/>
      <c r="H24" s="146"/>
      <c r="I24" s="271">
        <f>1bm!B11</f>
        <v>1100</v>
      </c>
      <c r="J24" s="271">
        <f>1bm!C11</f>
        <v>1100</v>
      </c>
      <c r="K24" s="236"/>
    </row>
    <row r="25" spans="1:11" ht="15.75">
      <c r="A25" s="236"/>
      <c r="B25" s="244" t="s">
        <v>1420</v>
      </c>
      <c r="C25" s="244">
        <v>10447</v>
      </c>
      <c r="D25" s="244">
        <v>10447</v>
      </c>
      <c r="E25" s="1089">
        <f>I25-C25</f>
        <v>2700</v>
      </c>
      <c r="F25" s="1089">
        <f>J25-D25</f>
        <v>2700</v>
      </c>
      <c r="G25" s="244"/>
      <c r="H25" s="244"/>
      <c r="I25" s="271">
        <f>1bm!H11</f>
        <v>13147</v>
      </c>
      <c r="J25" s="271">
        <f>1bm!I11</f>
        <v>13147</v>
      </c>
      <c r="K25" s="236"/>
    </row>
    <row r="26" spans="1:11" ht="15.75">
      <c r="A26" s="236"/>
      <c r="B26" s="244" t="s">
        <v>840</v>
      </c>
      <c r="C26" s="244">
        <v>4729</v>
      </c>
      <c r="D26" s="244">
        <v>4729</v>
      </c>
      <c r="E26" s="244">
        <v>0</v>
      </c>
      <c r="F26" s="244">
        <v>0</v>
      </c>
      <c r="G26" s="244"/>
      <c r="H26" s="244"/>
      <c r="I26" s="271">
        <v>4729</v>
      </c>
      <c r="J26" s="271">
        <v>4729</v>
      </c>
      <c r="K26" s="236"/>
    </row>
    <row r="27" spans="1:11" ht="15.75">
      <c r="A27" s="236"/>
      <c r="B27" s="244" t="s">
        <v>839</v>
      </c>
      <c r="C27" s="244">
        <v>1450</v>
      </c>
      <c r="D27" s="244">
        <v>1450</v>
      </c>
      <c r="E27" s="244">
        <v>0</v>
      </c>
      <c r="F27" s="244">
        <v>0</v>
      </c>
      <c r="G27" s="244"/>
      <c r="H27" s="244"/>
      <c r="I27" s="271">
        <v>1450</v>
      </c>
      <c r="J27" s="271">
        <v>1450</v>
      </c>
      <c r="K27" s="236"/>
    </row>
    <row r="28" spans="1:11" ht="15.75">
      <c r="A28" s="236"/>
      <c r="B28" s="244" t="s">
        <v>838</v>
      </c>
      <c r="C28" s="244"/>
      <c r="D28" s="244"/>
      <c r="E28" s="244">
        <v>270</v>
      </c>
      <c r="F28" s="244">
        <v>270</v>
      </c>
      <c r="G28" s="244"/>
      <c r="H28" s="244"/>
      <c r="I28" s="271">
        <v>270</v>
      </c>
      <c r="J28" s="271">
        <v>270</v>
      </c>
      <c r="K28" s="236"/>
    </row>
    <row r="29" spans="1:11" ht="15.75">
      <c r="A29" s="236"/>
      <c r="B29" s="244" t="s">
        <v>1417</v>
      </c>
      <c r="C29" s="226">
        <f>C21-C24-C25-C26-C27</f>
        <v>9326</v>
      </c>
      <c r="D29" s="226">
        <f>D21-D24-D25-D26-D27</f>
        <v>9326</v>
      </c>
      <c r="E29" s="226">
        <f>E21-E24-E25-E26-E27-E28</f>
        <v>12120</v>
      </c>
      <c r="F29" s="226">
        <f>F21-F24-F25-F26-F27-F28</f>
        <v>12120</v>
      </c>
      <c r="G29" s="244"/>
      <c r="H29" s="244"/>
      <c r="I29" s="238">
        <f>I21-I24-I25-I26-I27-I28</f>
        <v>21446</v>
      </c>
      <c r="J29" s="238">
        <f>J21-J24-J25-J26-J27-J28</f>
        <v>21446</v>
      </c>
      <c r="K29" s="236"/>
    </row>
    <row r="30" spans="1:11" ht="15.75">
      <c r="A30" s="236"/>
      <c r="B30" s="244" t="s">
        <v>346</v>
      </c>
      <c r="C30" s="244">
        <v>6102</v>
      </c>
      <c r="D30" s="244">
        <v>6102</v>
      </c>
      <c r="E30" s="244"/>
      <c r="F30" s="244"/>
      <c r="G30" s="244"/>
      <c r="H30" s="244"/>
      <c r="I30" s="271">
        <f>'841901-Önk saját bevételei'!E66</f>
        <v>6102</v>
      </c>
      <c r="J30" s="271">
        <f>I30</f>
        <v>6102</v>
      </c>
      <c r="K30" s="1081"/>
    </row>
    <row r="31" spans="1:11" ht="15.75">
      <c r="A31" s="223"/>
      <c r="B31" s="226" t="s">
        <v>1261</v>
      </c>
      <c r="C31" s="226">
        <f>C24+C29+C25+C26+C27</f>
        <v>26952</v>
      </c>
      <c r="D31" s="226">
        <f>D24+D29+D25+D26+D27</f>
        <v>26952</v>
      </c>
      <c r="E31" s="226">
        <f>SUM(E24:E29)</f>
        <v>15190</v>
      </c>
      <c r="F31" s="226">
        <f>SUM(F24:F29)</f>
        <v>15190</v>
      </c>
      <c r="G31" s="226"/>
      <c r="H31" s="226"/>
      <c r="I31" s="238">
        <f>SUM(I24:I29)</f>
        <v>42142</v>
      </c>
      <c r="J31" s="238">
        <f>SUM(J24:J29)</f>
        <v>42142</v>
      </c>
      <c r="K31" s="223"/>
    </row>
  </sheetData>
  <sheetProtection/>
  <mergeCells count="13">
    <mergeCell ref="K1:L1"/>
    <mergeCell ref="A5:K5"/>
    <mergeCell ref="A6:K6"/>
    <mergeCell ref="I11:J11"/>
    <mergeCell ref="B3:I3"/>
    <mergeCell ref="I1:J1"/>
    <mergeCell ref="E12:F12"/>
    <mergeCell ref="G12:H12"/>
    <mergeCell ref="C14:J14"/>
    <mergeCell ref="I12:J12"/>
    <mergeCell ref="B22:J22"/>
    <mergeCell ref="B23:J23"/>
    <mergeCell ref="C12:D12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44"/>
  <sheetViews>
    <sheetView view="pageBreakPreview" zoomScale="80" zoomScaleNormal="90" zoomScaleSheetLayoutView="80" zoomScalePageLayoutView="0" workbookViewId="0" topLeftCell="A1">
      <selection activeCell="G35" sqref="G35"/>
    </sheetView>
  </sheetViews>
  <sheetFormatPr defaultColWidth="9.140625" defaultRowHeight="12.75"/>
  <cols>
    <col min="1" max="1" width="53.57421875" style="0" customWidth="1"/>
    <col min="2" max="2" width="17.00390625" style="0" customWidth="1"/>
    <col min="3" max="3" width="14.421875" style="0" customWidth="1"/>
    <col min="4" max="5" width="13.7109375" style="0" customWidth="1"/>
    <col min="6" max="6" width="14.140625" style="0" customWidth="1"/>
    <col min="7" max="7" width="15.8515625" style="0" customWidth="1"/>
    <col min="8" max="8" width="15.57421875" style="0" customWidth="1"/>
    <col min="9" max="9" width="14.8515625" style="0" customWidth="1"/>
    <col min="10" max="10" width="15.57421875" style="0" customWidth="1"/>
    <col min="11" max="11" width="14.140625" style="0" customWidth="1"/>
    <col min="12" max="12" width="14.00390625" style="0" customWidth="1"/>
    <col min="13" max="13" width="13.57421875" style="0" customWidth="1"/>
    <col min="14" max="14" width="16.57421875" style="0" customWidth="1"/>
    <col min="15" max="15" width="13.7109375" style="0" customWidth="1"/>
  </cols>
  <sheetData>
    <row r="1" spans="14:15" ht="12.75">
      <c r="N1" s="1129" t="s">
        <v>1173</v>
      </c>
      <c r="O1" s="1129"/>
    </row>
    <row r="2" spans="1:15" ht="12.75">
      <c r="A2" s="1133" t="s">
        <v>869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32"/>
    </row>
    <row r="3" spans="1:15" ht="46.5" customHeight="1">
      <c r="A3" s="1132" t="s">
        <v>1149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</row>
    <row r="4" spans="14:15" ht="12.75">
      <c r="N4" s="1134" t="s">
        <v>161</v>
      </c>
      <c r="O4" s="1134"/>
    </row>
    <row r="5" spans="1:15" ht="12.75">
      <c r="A5" s="1128" t="s">
        <v>451</v>
      </c>
      <c r="B5" s="1126" t="s">
        <v>145</v>
      </c>
      <c r="C5" s="1126"/>
      <c r="D5" s="1126" t="s">
        <v>1111</v>
      </c>
      <c r="E5" s="1126"/>
      <c r="F5" s="1126" t="s">
        <v>538</v>
      </c>
      <c r="G5" s="1126"/>
      <c r="H5" s="1130" t="s">
        <v>539</v>
      </c>
      <c r="I5" s="1131"/>
      <c r="J5" s="1131"/>
      <c r="K5" s="6"/>
      <c r="L5" s="1126" t="s">
        <v>1113</v>
      </c>
      <c r="M5" s="1126"/>
      <c r="N5" s="1127" t="s">
        <v>1036</v>
      </c>
      <c r="O5" s="1127"/>
    </row>
    <row r="6" spans="1:15" ht="24" customHeight="1">
      <c r="A6" s="1128"/>
      <c r="B6" s="1126"/>
      <c r="C6" s="1126"/>
      <c r="D6" s="1126"/>
      <c r="E6" s="1126"/>
      <c r="F6" s="1126"/>
      <c r="G6" s="1126"/>
      <c r="H6" s="1126" t="s">
        <v>540</v>
      </c>
      <c r="I6" s="1126"/>
      <c r="J6" s="1126" t="s">
        <v>1112</v>
      </c>
      <c r="K6" s="1126"/>
      <c r="L6" s="1126"/>
      <c r="M6" s="1126"/>
      <c r="N6" s="1127"/>
      <c r="O6" s="1127"/>
    </row>
    <row r="7" spans="1:15" ht="12.75">
      <c r="A7" s="1128"/>
      <c r="B7" s="168" t="s">
        <v>1023</v>
      </c>
      <c r="C7" s="168" t="s">
        <v>1114</v>
      </c>
      <c r="D7" s="168" t="s">
        <v>1023</v>
      </c>
      <c r="E7" s="168" t="s">
        <v>1114</v>
      </c>
      <c r="F7" s="168" t="s">
        <v>1023</v>
      </c>
      <c r="G7" s="168" t="s">
        <v>1114</v>
      </c>
      <c r="H7" s="168" t="s">
        <v>1023</v>
      </c>
      <c r="I7" s="168" t="s">
        <v>1114</v>
      </c>
      <c r="J7" s="168" t="s">
        <v>1023</v>
      </c>
      <c r="K7" s="168" t="s">
        <v>1114</v>
      </c>
      <c r="L7" s="168" t="s">
        <v>1023</v>
      </c>
      <c r="M7" s="168" t="s">
        <v>1114</v>
      </c>
      <c r="N7" s="168" t="s">
        <v>1023</v>
      </c>
      <c r="O7" s="168" t="s">
        <v>1114</v>
      </c>
    </row>
    <row r="8" spans="1:15" ht="12.75">
      <c r="A8" s="878" t="s">
        <v>560</v>
      </c>
      <c r="B8" s="39">
        <f>'Polg. Hiv'!E112+'841125-115-Elsőfokú ép. hatóság'!E41</f>
        <v>650</v>
      </c>
      <c r="C8" s="39">
        <f>B8</f>
        <v>650</v>
      </c>
      <c r="D8" s="39"/>
      <c r="E8" s="39"/>
      <c r="F8" s="39"/>
      <c r="G8" s="39"/>
      <c r="H8" s="23"/>
      <c r="I8" s="39"/>
      <c r="J8" s="39"/>
      <c r="K8" s="39"/>
      <c r="L8" s="39"/>
      <c r="M8" s="39"/>
      <c r="N8" s="39">
        <f>+B8+D8+F8+H8+J8+L8</f>
        <v>650</v>
      </c>
      <c r="O8" s="39">
        <f>+C8+E8+G8+I8+K8+M8</f>
        <v>650</v>
      </c>
    </row>
    <row r="9" spans="1:15" s="870" customFormat="1" ht="12.75">
      <c r="A9" s="878" t="s">
        <v>1469</v>
      </c>
      <c r="B9" s="39"/>
      <c r="C9" s="39"/>
      <c r="D9" s="39"/>
      <c r="E9" s="39"/>
      <c r="F9" s="39"/>
      <c r="G9" s="39"/>
      <c r="H9" s="18">
        <f>'841126-116-Önk. igazgatás'!E132</f>
        <v>13934</v>
      </c>
      <c r="I9" s="18">
        <f>H9</f>
        <v>13934</v>
      </c>
      <c r="J9" s="39"/>
      <c r="K9" s="39"/>
      <c r="L9" s="39"/>
      <c r="M9" s="39"/>
      <c r="N9" s="39">
        <f aca="true" t="shared" si="0" ref="N9:O27">+B9+D9+F9+H9+J9+L9</f>
        <v>13934</v>
      </c>
      <c r="O9" s="39">
        <f t="shared" si="0"/>
        <v>13934</v>
      </c>
    </row>
    <row r="10" spans="1:15" ht="12.75">
      <c r="A10" s="878" t="s">
        <v>1470</v>
      </c>
      <c r="B10" s="39"/>
      <c r="C10" s="39"/>
      <c r="D10" s="39"/>
      <c r="E10" s="39"/>
      <c r="F10" s="39"/>
      <c r="G10" s="39"/>
      <c r="H10" s="18">
        <f>'841126-PHiv'!D114</f>
        <v>6668</v>
      </c>
      <c r="I10" s="18">
        <f>H10</f>
        <v>6668</v>
      </c>
      <c r="J10" s="16"/>
      <c r="K10" s="16"/>
      <c r="L10" s="39"/>
      <c r="M10" s="39"/>
      <c r="N10" s="39">
        <f t="shared" si="0"/>
        <v>6668</v>
      </c>
      <c r="O10" s="39">
        <f t="shared" si="0"/>
        <v>6668</v>
      </c>
    </row>
    <row r="11" spans="1:15" ht="12.75">
      <c r="A11" s="878" t="s">
        <v>878</v>
      </c>
      <c r="B11" s="39"/>
      <c r="C11" s="39"/>
      <c r="D11" s="39"/>
      <c r="E11" s="39"/>
      <c r="F11" s="39"/>
      <c r="G11" s="39"/>
      <c r="H11" s="18">
        <f>'841126-PHiv'!D115</f>
        <v>26068</v>
      </c>
      <c r="I11" s="18">
        <f>H11</f>
        <v>26068</v>
      </c>
      <c r="J11" s="39"/>
      <c r="K11" s="39"/>
      <c r="L11" s="39"/>
      <c r="M11" s="39"/>
      <c r="N11" s="39">
        <f t="shared" si="0"/>
        <v>26068</v>
      </c>
      <c r="O11" s="39">
        <f t="shared" si="0"/>
        <v>26068</v>
      </c>
    </row>
    <row r="12" spans="1:15" ht="12.75">
      <c r="A12" s="54" t="s">
        <v>1148</v>
      </c>
      <c r="B12" s="49">
        <f>SUM(B8:B11)</f>
        <v>650</v>
      </c>
      <c r="C12" s="49">
        <f aca="true" t="shared" si="1" ref="C12:H12">SUM(C8:C11)</f>
        <v>650</v>
      </c>
      <c r="D12" s="49">
        <f t="shared" si="1"/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46670</v>
      </c>
      <c r="I12" s="49">
        <f aca="true" t="shared" si="2" ref="I12:O12">SUM(I8:I11)</f>
        <v>46670</v>
      </c>
      <c r="J12" s="49">
        <f t="shared" si="2"/>
        <v>0</v>
      </c>
      <c r="K12" s="49">
        <f t="shared" si="2"/>
        <v>0</v>
      </c>
      <c r="L12" s="49">
        <f t="shared" si="2"/>
        <v>0</v>
      </c>
      <c r="M12" s="49">
        <f t="shared" si="2"/>
        <v>0</v>
      </c>
      <c r="N12" s="49">
        <f t="shared" si="2"/>
        <v>47320</v>
      </c>
      <c r="O12" s="49">
        <f t="shared" si="2"/>
        <v>47320</v>
      </c>
    </row>
    <row r="13" spans="1:15" ht="12.75">
      <c r="A13" s="878" t="s">
        <v>1115</v>
      </c>
      <c r="B13" s="39"/>
      <c r="C13" s="39"/>
      <c r="D13" s="39"/>
      <c r="E13" s="39"/>
      <c r="F13" s="39"/>
      <c r="G13" s="39"/>
      <c r="H13" s="18">
        <v>0</v>
      </c>
      <c r="I13" s="18"/>
      <c r="J13" s="39"/>
      <c r="K13" s="39"/>
      <c r="L13" s="39"/>
      <c r="M13" s="39"/>
      <c r="N13" s="39">
        <f t="shared" si="0"/>
        <v>0</v>
      </c>
      <c r="O13" s="39">
        <f t="shared" si="0"/>
        <v>0</v>
      </c>
    </row>
    <row r="14" spans="1:15" ht="12.75">
      <c r="A14" s="42" t="s">
        <v>732</v>
      </c>
      <c r="B14" s="39"/>
      <c r="C14" s="39"/>
      <c r="D14" s="39"/>
      <c r="E14" s="39"/>
      <c r="F14" s="39"/>
      <c r="G14" s="39"/>
      <c r="H14" s="39"/>
      <c r="I14" s="39"/>
      <c r="J14" s="39">
        <v>1989</v>
      </c>
      <c r="K14" s="39">
        <f>J14</f>
        <v>1989</v>
      </c>
      <c r="L14" s="39"/>
      <c r="M14" s="39"/>
      <c r="N14" s="39">
        <f t="shared" si="0"/>
        <v>1989</v>
      </c>
      <c r="O14" s="39">
        <f t="shared" si="0"/>
        <v>1989</v>
      </c>
    </row>
    <row r="15" spans="1:15" ht="12.75">
      <c r="A15" s="6" t="s">
        <v>1116</v>
      </c>
      <c r="B15" s="39"/>
      <c r="C15" s="39"/>
      <c r="D15" s="39"/>
      <c r="E15" s="39"/>
      <c r="F15" s="39"/>
      <c r="G15" s="39"/>
      <c r="H15" s="39">
        <f>'841126-116-Önk. igazgatás'!E141</f>
        <v>0</v>
      </c>
      <c r="I15" s="39"/>
      <c r="J15" s="39"/>
      <c r="K15" s="39"/>
      <c r="L15" s="39"/>
      <c r="M15" s="7"/>
      <c r="N15" s="7">
        <f t="shared" si="0"/>
        <v>0</v>
      </c>
      <c r="O15" s="7">
        <f t="shared" si="0"/>
        <v>0</v>
      </c>
    </row>
    <row r="16" spans="1:15" ht="12.75">
      <c r="A16" s="14" t="s">
        <v>458</v>
      </c>
      <c r="B16" s="39"/>
      <c r="C16" s="39"/>
      <c r="D16" s="39"/>
      <c r="E16" s="39"/>
      <c r="F16" s="39"/>
      <c r="G16" s="39"/>
      <c r="H16" s="39">
        <f>'841126-116-Önk. igazgatás'!E142</f>
        <v>148765</v>
      </c>
      <c r="I16" s="39">
        <f>H16</f>
        <v>148765</v>
      </c>
      <c r="J16" s="39"/>
      <c r="K16" s="39"/>
      <c r="L16" s="39"/>
      <c r="M16" s="7"/>
      <c r="N16" s="7">
        <f t="shared" si="0"/>
        <v>148765</v>
      </c>
      <c r="O16" s="7">
        <f t="shared" si="0"/>
        <v>148765</v>
      </c>
    </row>
    <row r="17" spans="1:15" ht="12.75">
      <c r="A17" s="6" t="s">
        <v>195</v>
      </c>
      <c r="B17" s="1104"/>
      <c r="C17" s="39"/>
      <c r="D17" s="39"/>
      <c r="E17" s="39"/>
      <c r="F17" s="39"/>
      <c r="G17" s="39"/>
      <c r="H17" s="878"/>
      <c r="I17" s="39"/>
      <c r="J17" s="39"/>
      <c r="K17" s="39"/>
      <c r="L17" s="39"/>
      <c r="M17" s="7"/>
      <c r="N17" s="7">
        <f t="shared" si="0"/>
        <v>0</v>
      </c>
      <c r="O17" s="7">
        <f t="shared" si="0"/>
        <v>0</v>
      </c>
    </row>
    <row r="18" spans="1:15" s="1051" customFormat="1" ht="12.75">
      <c r="A18" s="42" t="s">
        <v>1119</v>
      </c>
      <c r="B18" s="18"/>
      <c r="C18" s="18"/>
      <c r="D18" s="19"/>
      <c r="E18" s="18"/>
      <c r="F18" s="18"/>
      <c r="G18" s="18"/>
      <c r="H18" s="42"/>
      <c r="I18" s="18"/>
      <c r="J18" s="18"/>
      <c r="K18" s="18"/>
      <c r="L18" s="18"/>
      <c r="M18" s="18"/>
      <c r="N18" s="7">
        <f t="shared" si="0"/>
        <v>0</v>
      </c>
      <c r="O18" s="7">
        <f t="shared" si="0"/>
        <v>0</v>
      </c>
    </row>
    <row r="19" spans="1:15" s="13" customFormat="1" ht="12.75" hidden="1">
      <c r="A19" s="14" t="s">
        <v>1361</v>
      </c>
      <c r="B19" s="18"/>
      <c r="C19" s="18"/>
      <c r="D19" s="18"/>
      <c r="E19" s="18"/>
      <c r="F19" s="18">
        <f>'[1]2m'!B45</f>
        <v>0</v>
      </c>
      <c r="G19" s="18"/>
      <c r="H19" s="42"/>
      <c r="I19" s="18"/>
      <c r="J19" s="18"/>
      <c r="K19" s="18"/>
      <c r="L19" s="18">
        <f>'[1]841126-Finanszírozási műveletek'!D24</f>
        <v>0</v>
      </c>
      <c r="M19" s="15"/>
      <c r="N19" s="7">
        <f t="shared" si="0"/>
        <v>0</v>
      </c>
      <c r="O19" s="15"/>
    </row>
    <row r="20" spans="1:15" s="13" customFormat="1" ht="12.75">
      <c r="A20" s="42" t="s">
        <v>832</v>
      </c>
      <c r="B20" s="18"/>
      <c r="C20" s="18"/>
      <c r="D20" s="18"/>
      <c r="E20" s="18"/>
      <c r="F20" s="18"/>
      <c r="G20" s="18"/>
      <c r="H20" s="39">
        <f>'841126-116-Önk. igazgatás'!E134</f>
        <v>1613</v>
      </c>
      <c r="I20" s="18">
        <f>H20</f>
        <v>1613</v>
      </c>
      <c r="J20" s="18"/>
      <c r="K20" s="18"/>
      <c r="L20" s="18"/>
      <c r="M20" s="15"/>
      <c r="N20" s="7">
        <f t="shared" si="0"/>
        <v>1613</v>
      </c>
      <c r="O20" s="7">
        <f t="shared" si="0"/>
        <v>1613</v>
      </c>
    </row>
    <row r="21" spans="1:15" s="13" customFormat="1" ht="12.75">
      <c r="A21" s="6" t="s">
        <v>1028</v>
      </c>
      <c r="B21" s="39"/>
      <c r="C21" s="39"/>
      <c r="D21" s="39"/>
      <c r="E21" s="39"/>
      <c r="F21" s="39"/>
      <c r="G21" s="39"/>
      <c r="H21" s="18"/>
      <c r="I21" s="18"/>
      <c r="J21" s="39"/>
      <c r="K21" s="39"/>
      <c r="L21" s="39"/>
      <c r="M21" s="7"/>
      <c r="N21" s="7">
        <f>+B21+D21+F21+H21+J21+L21</f>
        <v>0</v>
      </c>
      <c r="O21" s="7">
        <f>+C21+E21+G21+I21+K21+M21</f>
        <v>0</v>
      </c>
    </row>
    <row r="22" spans="1:15" ht="12.75">
      <c r="A22" s="6" t="s">
        <v>1120</v>
      </c>
      <c r="B22" s="878"/>
      <c r="C22" s="39"/>
      <c r="D22" s="39">
        <f>'841901-Önk saját bevételei'!E12</f>
        <v>102000</v>
      </c>
      <c r="E22" s="39">
        <f aca="true" t="shared" si="3" ref="E22:E27">D22</f>
        <v>102000</v>
      </c>
      <c r="F22" s="39"/>
      <c r="G22" s="39"/>
      <c r="H22" s="878"/>
      <c r="I22" s="39"/>
      <c r="J22" s="39"/>
      <c r="K22" s="39"/>
      <c r="L22" s="39"/>
      <c r="M22" s="7"/>
      <c r="N22" s="7">
        <f t="shared" si="0"/>
        <v>102000</v>
      </c>
      <c r="O22" s="7">
        <f t="shared" si="0"/>
        <v>102000</v>
      </c>
    </row>
    <row r="23" spans="1:15" ht="12.75">
      <c r="A23" s="6" t="s">
        <v>198</v>
      </c>
      <c r="B23" s="878"/>
      <c r="C23" s="39"/>
      <c r="D23" s="39">
        <f>'841901-Önk saját bevételei'!E13</f>
        <v>100</v>
      </c>
      <c r="E23" s="39">
        <f t="shared" si="3"/>
        <v>100</v>
      </c>
      <c r="F23" s="39"/>
      <c r="G23" s="39"/>
      <c r="H23" s="878"/>
      <c r="I23" s="39"/>
      <c r="J23" s="39"/>
      <c r="K23" s="39"/>
      <c r="L23" s="39"/>
      <c r="M23" s="7"/>
      <c r="N23" s="7">
        <f t="shared" si="0"/>
        <v>100</v>
      </c>
      <c r="O23" s="7">
        <f t="shared" si="0"/>
        <v>100</v>
      </c>
    </row>
    <row r="24" spans="1:15" ht="12.75">
      <c r="A24" s="6" t="s">
        <v>196</v>
      </c>
      <c r="B24" s="878"/>
      <c r="C24" s="39"/>
      <c r="D24" s="39">
        <f>'841901-Önk saját bevételei'!E16</f>
        <v>12800</v>
      </c>
      <c r="E24" s="39">
        <f t="shared" si="3"/>
        <v>12800</v>
      </c>
      <c r="F24" s="39"/>
      <c r="G24" s="39"/>
      <c r="H24" s="878"/>
      <c r="I24" s="39"/>
      <c r="J24" s="39"/>
      <c r="K24" s="39"/>
      <c r="L24" s="39"/>
      <c r="M24" s="7"/>
      <c r="N24" s="7">
        <f t="shared" si="0"/>
        <v>12800</v>
      </c>
      <c r="O24" s="7">
        <f t="shared" si="0"/>
        <v>12800</v>
      </c>
    </row>
    <row r="25" spans="1:15" ht="12.75">
      <c r="A25" s="6" t="s">
        <v>1110</v>
      </c>
      <c r="B25" s="878"/>
      <c r="C25" s="39"/>
      <c r="D25" s="39">
        <f>'841901-Önk saját bevételei'!E23</f>
        <v>700</v>
      </c>
      <c r="E25" s="39">
        <f t="shared" si="3"/>
        <v>700</v>
      </c>
      <c r="F25" s="39"/>
      <c r="G25" s="39"/>
      <c r="H25" s="878"/>
      <c r="I25" s="39"/>
      <c r="J25" s="39"/>
      <c r="K25" s="39"/>
      <c r="L25" s="39"/>
      <c r="M25" s="7"/>
      <c r="N25" s="7">
        <f t="shared" si="0"/>
        <v>700</v>
      </c>
      <c r="O25" s="7">
        <f t="shared" si="0"/>
        <v>700</v>
      </c>
    </row>
    <row r="26" spans="1:15" ht="12.75">
      <c r="A26" s="6" t="s">
        <v>561</v>
      </c>
      <c r="B26" s="878"/>
      <c r="C26" s="39"/>
      <c r="D26" s="39">
        <f>'841901-Önk saját bevételei'!E19+'841901-Önk saját bevételei'!E21</f>
        <v>0</v>
      </c>
      <c r="E26" s="39">
        <f t="shared" si="3"/>
        <v>0</v>
      </c>
      <c r="F26" s="39"/>
      <c r="G26" s="39"/>
      <c r="H26" s="878"/>
      <c r="I26" s="39"/>
      <c r="J26" s="39"/>
      <c r="K26" s="39"/>
      <c r="L26" s="39"/>
      <c r="M26" s="7"/>
      <c r="N26" s="7">
        <f t="shared" si="0"/>
        <v>0</v>
      </c>
      <c r="O26" s="7">
        <f t="shared" si="0"/>
        <v>0</v>
      </c>
    </row>
    <row r="27" spans="1:15" ht="12.75">
      <c r="A27" s="6" t="s">
        <v>1121</v>
      </c>
      <c r="B27" s="39"/>
      <c r="C27" s="39">
        <f>'[1]841901-Önk saját bevételei'!F25+'[1]841901-Önk saját bevételei'!F26+'[1]841901-Önk saját bevételei'!F27+'[1]841901-Önk saját bevételei'!F28</f>
        <v>0</v>
      </c>
      <c r="D27" s="39">
        <f>'841901-Önk saját bevételei'!E29</f>
        <v>9000</v>
      </c>
      <c r="E27" s="39">
        <f t="shared" si="3"/>
        <v>9000</v>
      </c>
      <c r="F27" s="39"/>
      <c r="G27" s="39"/>
      <c r="H27" s="878"/>
      <c r="I27" s="39"/>
      <c r="J27" s="39"/>
      <c r="K27" s="39"/>
      <c r="L27" s="39"/>
      <c r="M27" s="7"/>
      <c r="N27" s="7">
        <f t="shared" si="0"/>
        <v>9000</v>
      </c>
      <c r="O27" s="7">
        <f t="shared" si="0"/>
        <v>9000</v>
      </c>
    </row>
    <row r="28" spans="1:15" ht="12.75">
      <c r="A28" s="266" t="s">
        <v>900</v>
      </c>
      <c r="B28" s="39"/>
      <c r="C28" s="39"/>
      <c r="D28" s="878"/>
      <c r="E28" s="39"/>
      <c r="F28" s="39">
        <f>'841901-Önk saját bevételei'!E40</f>
        <v>130952</v>
      </c>
      <c r="G28" s="39">
        <f>F28</f>
        <v>130952</v>
      </c>
      <c r="H28" s="39"/>
      <c r="I28" s="39"/>
      <c r="J28" s="39"/>
      <c r="K28" s="39"/>
      <c r="L28" s="39"/>
      <c r="M28" s="7"/>
      <c r="N28" s="7">
        <f aca="true" t="shared" si="4" ref="N28:O30">+B28+F28+H28+J28+L28</f>
        <v>130952</v>
      </c>
      <c r="O28" s="7">
        <f t="shared" si="4"/>
        <v>130952</v>
      </c>
    </row>
    <row r="29" spans="1:15" ht="25.5">
      <c r="A29" s="1052" t="s">
        <v>901</v>
      </c>
      <c r="B29" s="39"/>
      <c r="C29" s="39"/>
      <c r="D29" s="878"/>
      <c r="E29" s="39"/>
      <c r="F29" s="39">
        <f>'841901-Önk saját bevételei'!E51</f>
        <v>104332</v>
      </c>
      <c r="G29" s="39">
        <f aca="true" t="shared" si="5" ref="G29:G35">F29</f>
        <v>104332</v>
      </c>
      <c r="H29" s="39"/>
      <c r="I29" s="39"/>
      <c r="J29" s="39"/>
      <c r="K29" s="39"/>
      <c r="L29" s="39"/>
      <c r="M29" s="7"/>
      <c r="N29" s="7">
        <f t="shared" si="4"/>
        <v>104332</v>
      </c>
      <c r="O29" s="7">
        <f t="shared" si="4"/>
        <v>104332</v>
      </c>
    </row>
    <row r="30" spans="1:15" ht="25.5">
      <c r="A30" s="701" t="s">
        <v>912</v>
      </c>
      <c r="B30" s="39"/>
      <c r="C30" s="39"/>
      <c r="D30" s="878"/>
      <c r="E30" s="39"/>
      <c r="F30" s="39">
        <f>'841901-Önk saját bevételei'!E65</f>
        <v>169380</v>
      </c>
      <c r="G30" s="39">
        <f t="shared" si="5"/>
        <v>169380</v>
      </c>
      <c r="H30" s="39"/>
      <c r="I30" s="39"/>
      <c r="J30" s="39"/>
      <c r="K30" s="39"/>
      <c r="L30" s="39"/>
      <c r="M30" s="7"/>
      <c r="N30" s="7">
        <f t="shared" si="4"/>
        <v>169380</v>
      </c>
      <c r="O30" s="7">
        <f t="shared" si="4"/>
        <v>169380</v>
      </c>
    </row>
    <row r="31" spans="1:15" ht="25.5">
      <c r="A31" s="701" t="s">
        <v>731</v>
      </c>
      <c r="B31" s="39"/>
      <c r="C31" s="39"/>
      <c r="D31" s="39"/>
      <c r="E31" s="39"/>
      <c r="F31" s="39">
        <f>'841901-Önk saját bevételei'!E66</f>
        <v>6102</v>
      </c>
      <c r="G31" s="39">
        <f t="shared" si="5"/>
        <v>6102</v>
      </c>
      <c r="H31" s="39"/>
      <c r="I31" s="39"/>
      <c r="J31" s="39"/>
      <c r="K31" s="39"/>
      <c r="L31" s="39"/>
      <c r="M31" s="7"/>
      <c r="N31" s="7">
        <f aca="true" t="shared" si="6" ref="N31:O42">+B31+D31+F31+H31+J31+L31</f>
        <v>6102</v>
      </c>
      <c r="O31" s="7">
        <f t="shared" si="6"/>
        <v>6102</v>
      </c>
    </row>
    <row r="32" spans="1:15" ht="12.75">
      <c r="A32" s="14" t="s">
        <v>52</v>
      </c>
      <c r="B32" s="878"/>
      <c r="C32" s="878"/>
      <c r="D32" s="878"/>
      <c r="E32" s="878"/>
      <c r="F32" s="878">
        <v>0</v>
      </c>
      <c r="G32" s="39">
        <f t="shared" si="5"/>
        <v>0</v>
      </c>
      <c r="H32" s="878"/>
      <c r="I32" s="878"/>
      <c r="J32" s="878"/>
      <c r="K32" s="878"/>
      <c r="L32" s="878"/>
      <c r="M32" s="6"/>
      <c r="N32" s="7">
        <f t="shared" si="6"/>
        <v>0</v>
      </c>
      <c r="O32" s="7">
        <f t="shared" si="6"/>
        <v>0</v>
      </c>
    </row>
    <row r="33" spans="1:15" ht="12.75">
      <c r="A33" s="6" t="s">
        <v>1122</v>
      </c>
      <c r="B33" s="39"/>
      <c r="C33" s="39"/>
      <c r="D33" s="39"/>
      <c r="E33" s="39"/>
      <c r="F33" s="39"/>
      <c r="G33" s="39">
        <f t="shared" si="5"/>
        <v>0</v>
      </c>
      <c r="H33" s="39"/>
      <c r="I33" s="39"/>
      <c r="J33" s="39"/>
      <c r="K33" s="39"/>
      <c r="L33" s="39"/>
      <c r="M33" s="7"/>
      <c r="N33" s="7">
        <f t="shared" si="6"/>
        <v>0</v>
      </c>
      <c r="O33" s="7">
        <f t="shared" si="6"/>
        <v>0</v>
      </c>
    </row>
    <row r="34" spans="1:15" ht="29.25" customHeight="1">
      <c r="A34" s="699" t="s">
        <v>342</v>
      </c>
      <c r="B34" s="39"/>
      <c r="C34" s="39"/>
      <c r="D34" s="39"/>
      <c r="E34" s="39"/>
      <c r="F34" s="39">
        <f>128897+3902+1</f>
        <v>132800</v>
      </c>
      <c r="G34" s="39">
        <f>F34+200+4188</f>
        <v>137188</v>
      </c>
      <c r="H34" s="1105"/>
      <c r="I34" s="39"/>
      <c r="J34" s="39"/>
      <c r="K34" s="39"/>
      <c r="L34" s="39"/>
      <c r="M34" s="7"/>
      <c r="N34" s="7">
        <f t="shared" si="6"/>
        <v>132800</v>
      </c>
      <c r="O34" s="7">
        <f t="shared" si="6"/>
        <v>137188</v>
      </c>
    </row>
    <row r="35" spans="1:15" ht="12.75">
      <c r="A35" s="42" t="s">
        <v>492</v>
      </c>
      <c r="B35" s="39"/>
      <c r="C35" s="39"/>
      <c r="D35" s="39"/>
      <c r="E35" s="39"/>
      <c r="F35" s="39">
        <f>'841126-Finanszírozási műveletek'!D22</f>
        <v>107534.49356400002</v>
      </c>
      <c r="G35" s="39">
        <f t="shared" si="5"/>
        <v>107534.49356400002</v>
      </c>
      <c r="H35" s="23"/>
      <c r="I35" s="39"/>
      <c r="J35" s="39"/>
      <c r="K35" s="39"/>
      <c r="L35" s="39"/>
      <c r="M35" s="7"/>
      <c r="N35" s="7">
        <f t="shared" si="6"/>
        <v>107534.49356400002</v>
      </c>
      <c r="O35" s="7">
        <f t="shared" si="6"/>
        <v>107534.49356400002</v>
      </c>
    </row>
    <row r="36" spans="1:15" ht="12.75">
      <c r="A36" s="14" t="s">
        <v>459</v>
      </c>
      <c r="B36" s="39"/>
      <c r="C36" s="39"/>
      <c r="D36" s="39"/>
      <c r="E36" s="39"/>
      <c r="F36" s="39"/>
      <c r="G36" s="39"/>
      <c r="H36" s="39">
        <f>'841126-116-Önk. igazgatás'!E150</f>
        <v>22404</v>
      </c>
      <c r="I36" s="39">
        <f>H36</f>
        <v>22404</v>
      </c>
      <c r="J36" s="39"/>
      <c r="K36" s="39"/>
      <c r="L36" s="39"/>
      <c r="M36" s="7"/>
      <c r="N36" s="7">
        <f t="shared" si="6"/>
        <v>22404</v>
      </c>
      <c r="O36" s="7">
        <f t="shared" si="6"/>
        <v>22404</v>
      </c>
    </row>
    <row r="37" spans="1:15" ht="12.75">
      <c r="A37" s="14" t="s">
        <v>1339</v>
      </c>
      <c r="B37" s="39">
        <v>3287</v>
      </c>
      <c r="C37" s="39">
        <v>3287</v>
      </c>
      <c r="D37" s="39"/>
      <c r="E37" s="39"/>
      <c r="F37" s="39"/>
      <c r="G37" s="39"/>
      <c r="H37" s="39"/>
      <c r="I37" s="39"/>
      <c r="J37" s="39"/>
      <c r="K37" s="39"/>
      <c r="L37" s="39"/>
      <c r="M37" s="7"/>
      <c r="N37" s="7">
        <f t="shared" si="6"/>
        <v>3287</v>
      </c>
      <c r="O37" s="7">
        <f t="shared" si="6"/>
        <v>3287</v>
      </c>
    </row>
    <row r="38" spans="1:15" ht="12.75">
      <c r="A38" s="14" t="s">
        <v>1340</v>
      </c>
      <c r="B38" s="39">
        <v>5838</v>
      </c>
      <c r="C38" s="39">
        <v>5838</v>
      </c>
      <c r="D38" s="39"/>
      <c r="E38" s="39"/>
      <c r="F38" s="39"/>
      <c r="G38" s="39"/>
      <c r="H38" s="39"/>
      <c r="I38" s="39"/>
      <c r="J38" s="39"/>
      <c r="K38" s="39"/>
      <c r="L38" s="39"/>
      <c r="M38" s="7"/>
      <c r="N38" s="7">
        <f t="shared" si="6"/>
        <v>5838</v>
      </c>
      <c r="O38" s="7">
        <f t="shared" si="6"/>
        <v>5838</v>
      </c>
    </row>
    <row r="39" spans="1:15" ht="12.75">
      <c r="A39" s="14" t="s">
        <v>1341</v>
      </c>
      <c r="B39" s="39">
        <v>5664</v>
      </c>
      <c r="C39" s="39">
        <v>5664</v>
      </c>
      <c r="D39" s="39"/>
      <c r="E39" s="39"/>
      <c r="F39" s="39"/>
      <c r="G39" s="39"/>
      <c r="H39" s="39"/>
      <c r="I39" s="39"/>
      <c r="J39" s="39"/>
      <c r="K39" s="39"/>
      <c r="L39" s="39"/>
      <c r="M39" s="7"/>
      <c r="N39" s="7">
        <f t="shared" si="6"/>
        <v>5664</v>
      </c>
      <c r="O39" s="7">
        <f t="shared" si="6"/>
        <v>5664</v>
      </c>
    </row>
    <row r="40" spans="1:15" ht="12.75">
      <c r="A40" s="14" t="s">
        <v>1342</v>
      </c>
      <c r="B40" s="39">
        <v>30474</v>
      </c>
      <c r="C40" s="39">
        <v>30474</v>
      </c>
      <c r="D40" s="39"/>
      <c r="E40" s="39"/>
      <c r="F40" s="39"/>
      <c r="G40" s="39"/>
      <c r="H40" s="39"/>
      <c r="I40" s="39"/>
      <c r="J40" s="39"/>
      <c r="K40" s="39"/>
      <c r="L40" s="39"/>
      <c r="M40" s="7"/>
      <c r="N40" s="7">
        <f t="shared" si="6"/>
        <v>30474</v>
      </c>
      <c r="O40" s="7">
        <f t="shared" si="6"/>
        <v>30474</v>
      </c>
    </row>
    <row r="41" spans="1:15" ht="12.75">
      <c r="A41" s="14" t="s">
        <v>1343</v>
      </c>
      <c r="B41" s="39">
        <v>1708</v>
      </c>
      <c r="C41" s="39">
        <v>1708</v>
      </c>
      <c r="D41" s="39"/>
      <c r="E41" s="39"/>
      <c r="F41" s="39"/>
      <c r="G41" s="39"/>
      <c r="H41" s="39"/>
      <c r="I41" s="39"/>
      <c r="J41" s="39"/>
      <c r="K41" s="39"/>
      <c r="L41" s="39"/>
      <c r="M41" s="7"/>
      <c r="N41" s="7">
        <f t="shared" si="6"/>
        <v>1708</v>
      </c>
      <c r="O41" s="7">
        <f t="shared" si="6"/>
        <v>1708</v>
      </c>
    </row>
    <row r="42" spans="1:15" ht="12.75">
      <c r="A42" s="14" t="s">
        <v>1540</v>
      </c>
      <c r="B42" s="39">
        <v>0</v>
      </c>
      <c r="C42" s="39">
        <v>5486</v>
      </c>
      <c r="D42" s="39"/>
      <c r="E42" s="39"/>
      <c r="F42" s="39"/>
      <c r="G42" s="39"/>
      <c r="H42" s="39"/>
      <c r="I42" s="39"/>
      <c r="J42" s="39"/>
      <c r="K42" s="39"/>
      <c r="L42" s="39"/>
      <c r="M42" s="7"/>
      <c r="N42" s="7">
        <f t="shared" si="6"/>
        <v>0</v>
      </c>
      <c r="O42" s="7">
        <f t="shared" si="6"/>
        <v>5486</v>
      </c>
    </row>
    <row r="43" spans="1:15" ht="12.75">
      <c r="A43" s="879" t="s">
        <v>1369</v>
      </c>
      <c r="B43" s="49">
        <f>SUM(B13:B42)</f>
        <v>46971</v>
      </c>
      <c r="C43" s="49">
        <f>SUM(C13:C42)</f>
        <v>52457</v>
      </c>
      <c r="D43" s="49">
        <f aca="true" t="shared" si="7" ref="D43:M43">SUM(D13:D36)</f>
        <v>124600</v>
      </c>
      <c r="E43" s="49">
        <f t="shared" si="7"/>
        <v>124600</v>
      </c>
      <c r="F43" s="49">
        <f t="shared" si="7"/>
        <v>651100.493564</v>
      </c>
      <c r="G43" s="49">
        <f t="shared" si="7"/>
        <v>655488.493564</v>
      </c>
      <c r="H43" s="49">
        <f t="shared" si="7"/>
        <v>172782</v>
      </c>
      <c r="I43" s="49">
        <f t="shared" si="7"/>
        <v>172782</v>
      </c>
      <c r="J43" s="49">
        <f t="shared" si="7"/>
        <v>1989</v>
      </c>
      <c r="K43" s="49">
        <f t="shared" si="7"/>
        <v>1989</v>
      </c>
      <c r="L43" s="49">
        <f t="shared" si="7"/>
        <v>0</v>
      </c>
      <c r="M43" s="49">
        <f t="shared" si="7"/>
        <v>0</v>
      </c>
      <c r="N43" s="49">
        <f>SUM(N13:N41)</f>
        <v>997442.493564</v>
      </c>
      <c r="O43" s="49">
        <f>SUM(O13:O42)</f>
        <v>1007316.493564</v>
      </c>
    </row>
    <row r="44" spans="1:15" s="10" customFormat="1" ht="12.75">
      <c r="A44" s="12" t="s">
        <v>1123</v>
      </c>
      <c r="B44" s="35">
        <f aca="true" t="shared" si="8" ref="B44:O44">B12+B43</f>
        <v>47621</v>
      </c>
      <c r="C44" s="35">
        <f t="shared" si="8"/>
        <v>53107</v>
      </c>
      <c r="D44" s="35">
        <f t="shared" si="8"/>
        <v>124600</v>
      </c>
      <c r="E44" s="35">
        <f t="shared" si="8"/>
        <v>124600</v>
      </c>
      <c r="F44" s="35">
        <f t="shared" si="8"/>
        <v>651100.493564</v>
      </c>
      <c r="G44" s="35">
        <f t="shared" si="8"/>
        <v>655488.493564</v>
      </c>
      <c r="H44" s="35">
        <f t="shared" si="8"/>
        <v>219452</v>
      </c>
      <c r="I44" s="35">
        <f t="shared" si="8"/>
        <v>219452</v>
      </c>
      <c r="J44" s="35">
        <f t="shared" si="8"/>
        <v>1989</v>
      </c>
      <c r="K44" s="35">
        <f t="shared" si="8"/>
        <v>1989</v>
      </c>
      <c r="L44" s="35">
        <f t="shared" si="8"/>
        <v>0</v>
      </c>
      <c r="M44" s="35">
        <f t="shared" si="8"/>
        <v>0</v>
      </c>
      <c r="N44" s="35">
        <f t="shared" si="8"/>
        <v>1044762.493564</v>
      </c>
      <c r="O44" s="35">
        <f t="shared" si="8"/>
        <v>1054636.493564</v>
      </c>
    </row>
  </sheetData>
  <sheetProtection/>
  <mergeCells count="13">
    <mergeCell ref="A3:O3"/>
    <mergeCell ref="A2:N2"/>
    <mergeCell ref="N4:O4"/>
    <mergeCell ref="L5:M6"/>
    <mergeCell ref="N5:O6"/>
    <mergeCell ref="A5:A7"/>
    <mergeCell ref="N1:O1"/>
    <mergeCell ref="J6:K6"/>
    <mergeCell ref="B5:C6"/>
    <mergeCell ref="D5:E6"/>
    <mergeCell ref="F5:G6"/>
    <mergeCell ref="H5:J5"/>
    <mergeCell ref="H6: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4">
      <selection activeCell="B21" sqref="B21:J21"/>
    </sheetView>
  </sheetViews>
  <sheetFormatPr defaultColWidth="9.140625" defaultRowHeight="12.75"/>
  <cols>
    <col min="2" max="2" width="30.140625" style="0" customWidth="1"/>
    <col min="3" max="4" width="12.28125" style="0" customWidth="1"/>
    <col min="5" max="6" width="12.140625" style="0" customWidth="1"/>
    <col min="7" max="8" width="17.57421875" style="0" customWidth="1"/>
    <col min="9" max="9" width="16.00390625" style="0" customWidth="1"/>
    <col min="10" max="10" width="15.28125" style="0" customWidth="1"/>
  </cols>
  <sheetData>
    <row r="1" spans="9:12" ht="12.75">
      <c r="I1" s="1129" t="s">
        <v>1421</v>
      </c>
      <c r="J1" s="1129"/>
      <c r="K1" s="1129"/>
      <c r="L1" s="1129"/>
    </row>
    <row r="3" spans="1:12" ht="12.75">
      <c r="A3" s="25"/>
      <c r="B3" s="1133" t="s">
        <v>1518</v>
      </c>
      <c r="C3" s="1133"/>
      <c r="D3" s="1133"/>
      <c r="E3" s="1133"/>
      <c r="F3" s="1133"/>
      <c r="G3" s="1133"/>
      <c r="H3" s="1133"/>
      <c r="I3" s="1133"/>
      <c r="J3" s="32"/>
      <c r="K3" s="32"/>
      <c r="L3" s="32"/>
    </row>
    <row r="4" spans="1:1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">
      <c r="A5" s="1186" t="s">
        <v>1328</v>
      </c>
      <c r="B5" s="1186"/>
      <c r="C5" s="1186"/>
      <c r="D5" s="1186"/>
      <c r="E5" s="1186"/>
      <c r="F5" s="1186"/>
      <c r="G5" s="1186"/>
      <c r="H5" s="1186"/>
      <c r="I5" s="1186"/>
      <c r="J5" s="1186"/>
      <c r="K5" s="1186"/>
    </row>
    <row r="6" spans="1:11" ht="18">
      <c r="A6" s="1186" t="s">
        <v>1519</v>
      </c>
      <c r="B6" s="1186"/>
      <c r="C6" s="1186"/>
      <c r="D6" s="1186"/>
      <c r="E6" s="1186"/>
      <c r="F6" s="1186"/>
      <c r="G6" s="1186"/>
      <c r="H6" s="1186"/>
      <c r="I6" s="1186"/>
      <c r="J6" s="1186"/>
      <c r="K6" s="1186"/>
    </row>
    <row r="7" spans="1:11" ht="18.7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ht="18.7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1:11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211"/>
      <c r="B11" s="211"/>
      <c r="C11" s="211"/>
      <c r="D11" s="211"/>
      <c r="E11" s="211"/>
      <c r="F11" s="211"/>
      <c r="G11" s="211"/>
      <c r="H11" s="211"/>
      <c r="I11" s="1202" t="s">
        <v>161</v>
      </c>
      <c r="J11" s="1202"/>
      <c r="K11" s="211"/>
    </row>
    <row r="12" spans="1:11" ht="31.5" customHeight="1">
      <c r="A12" s="211"/>
      <c r="B12" s="1114"/>
      <c r="C12" s="1236" t="s">
        <v>343</v>
      </c>
      <c r="D12" s="1236"/>
      <c r="E12" s="1231" t="s">
        <v>344</v>
      </c>
      <c r="F12" s="1231"/>
      <c r="G12" s="1231" t="s">
        <v>345</v>
      </c>
      <c r="H12" s="1231"/>
      <c r="I12" s="1231" t="s">
        <v>1038</v>
      </c>
      <c r="J12" s="1231"/>
      <c r="K12" s="211"/>
    </row>
    <row r="13" spans="1:11" ht="15.75" customHeight="1">
      <c r="A13" s="223"/>
      <c r="B13" s="224" t="s">
        <v>1037</v>
      </c>
      <c r="C13" s="1109" t="s">
        <v>1534</v>
      </c>
      <c r="D13" s="1110" t="s">
        <v>1537</v>
      </c>
      <c r="E13" s="1110" t="s">
        <v>1534</v>
      </c>
      <c r="F13" s="1110" t="s">
        <v>1537</v>
      </c>
      <c r="G13" s="1110" t="s">
        <v>1534</v>
      </c>
      <c r="H13" s="1110" t="s">
        <v>1537</v>
      </c>
      <c r="I13" s="1111" t="s">
        <v>1534</v>
      </c>
      <c r="J13" s="243" t="s">
        <v>1537</v>
      </c>
      <c r="K13" s="223"/>
    </row>
    <row r="14" spans="1:11" ht="15.75">
      <c r="A14" s="232"/>
      <c r="B14" s="234" t="s">
        <v>1252</v>
      </c>
      <c r="C14" s="1086"/>
      <c r="D14" s="1086"/>
      <c r="E14" s="1088"/>
      <c r="F14" s="1088"/>
      <c r="G14" s="1088"/>
      <c r="H14" s="1088"/>
      <c r="I14" s="1091"/>
      <c r="J14" s="1087"/>
      <c r="K14" s="232"/>
    </row>
    <row r="15" spans="1:15" ht="15.75">
      <c r="A15" s="236"/>
      <c r="B15" s="244" t="s">
        <v>1135</v>
      </c>
      <c r="C15" s="1089">
        <f aca="true" t="shared" si="0" ref="C15:D19">I15-G15</f>
        <v>93272</v>
      </c>
      <c r="D15" s="1089">
        <f t="shared" si="0"/>
        <v>93272</v>
      </c>
      <c r="E15" s="244"/>
      <c r="F15" s="244"/>
      <c r="G15" s="244">
        <v>4193</v>
      </c>
      <c r="H15" s="244">
        <v>4193</v>
      </c>
      <c r="I15" s="271">
        <f>'841126-PHiv'!D50+'841125-115-Elsőfokú ép. hatóság'!E26+'841133-adó beszedése'!E22</f>
        <v>97465</v>
      </c>
      <c r="J15" s="271">
        <f>2am!C14</f>
        <v>97465</v>
      </c>
      <c r="K15" s="236"/>
      <c r="O15" s="236"/>
    </row>
    <row r="16" spans="1:11" ht="15.75">
      <c r="A16" s="236"/>
      <c r="B16" s="244" t="s">
        <v>1253</v>
      </c>
      <c r="C16" s="1089">
        <f t="shared" si="0"/>
        <v>23570.13</v>
      </c>
      <c r="D16" s="1089">
        <f t="shared" si="0"/>
        <v>23570.13</v>
      </c>
      <c r="E16" s="244"/>
      <c r="F16" s="244"/>
      <c r="G16" s="244">
        <v>1059</v>
      </c>
      <c r="H16" s="244">
        <v>1059</v>
      </c>
      <c r="I16" s="271">
        <f>'841126-PHiv'!D53+'841125-115-Elsőfokú ép. hatóság'!E31+'841133-adó beszedése'!E26</f>
        <v>24629.13</v>
      </c>
      <c r="J16" s="271">
        <f>2am!E14</f>
        <v>24629.13</v>
      </c>
      <c r="K16" s="236"/>
    </row>
    <row r="17" spans="1:11" ht="15.75">
      <c r="A17" s="236"/>
      <c r="B17" s="244" t="s">
        <v>1254</v>
      </c>
      <c r="C17" s="1089">
        <f t="shared" si="0"/>
        <v>31023.11</v>
      </c>
      <c r="D17" s="1089">
        <f t="shared" si="0"/>
        <v>31023.11</v>
      </c>
      <c r="E17" s="244"/>
      <c r="F17" s="244"/>
      <c r="G17" s="244">
        <v>142</v>
      </c>
      <c r="H17" s="244">
        <v>142</v>
      </c>
      <c r="I17" s="271">
        <f>'841126-PHiv'!D110+'841125-115-Elsőfokú ép. hatóság'!E38+'841133-adó beszedése'!E32</f>
        <v>31165.11</v>
      </c>
      <c r="J17" s="271">
        <f>2am!G14</f>
        <v>31165.11</v>
      </c>
      <c r="K17" s="236"/>
    </row>
    <row r="18" spans="1:11" ht="15.75">
      <c r="A18" s="236"/>
      <c r="B18" s="244" t="s">
        <v>1416</v>
      </c>
      <c r="C18" s="1089">
        <f t="shared" si="0"/>
        <v>0</v>
      </c>
      <c r="D18" s="1089">
        <f t="shared" si="0"/>
        <v>0</v>
      </c>
      <c r="E18" s="244"/>
      <c r="F18" s="244"/>
      <c r="G18" s="244"/>
      <c r="H18" s="244"/>
      <c r="I18" s="271">
        <v>0</v>
      </c>
      <c r="J18" s="271">
        <f>2am!I14</f>
        <v>0</v>
      </c>
      <c r="K18" s="236"/>
    </row>
    <row r="19" spans="1:11" ht="15.75">
      <c r="A19" s="236"/>
      <c r="B19" s="244" t="s">
        <v>1255</v>
      </c>
      <c r="C19" s="1089">
        <f t="shared" si="0"/>
        <v>0</v>
      </c>
      <c r="D19" s="1089">
        <f t="shared" si="0"/>
        <v>0</v>
      </c>
      <c r="E19" s="244"/>
      <c r="F19" s="244"/>
      <c r="G19" s="244"/>
      <c r="H19" s="244"/>
      <c r="I19" s="271">
        <v>0</v>
      </c>
      <c r="J19" s="271">
        <f>2am!K14+2am!M14</f>
        <v>0</v>
      </c>
      <c r="K19" s="236"/>
    </row>
    <row r="20" spans="1:11" ht="15.75">
      <c r="A20" s="223"/>
      <c r="B20" s="226" t="s">
        <v>1256</v>
      </c>
      <c r="C20" s="1090">
        <f>SUM(C15:C19)</f>
        <v>147865.24</v>
      </c>
      <c r="D20" s="1090">
        <f>SUM(D15:D19)</f>
        <v>147865.24</v>
      </c>
      <c r="E20" s="226">
        <v>0</v>
      </c>
      <c r="F20" s="226"/>
      <c r="G20" s="226">
        <f>SUM(G15:G19)</f>
        <v>5394</v>
      </c>
      <c r="H20" s="226">
        <f>SUM(H15:H19)</f>
        <v>5394</v>
      </c>
      <c r="I20" s="238">
        <f>SUM(I15:I19)</f>
        <v>153259.24</v>
      </c>
      <c r="J20" s="238">
        <f>SUM(J15:J19)</f>
        <v>153259.24</v>
      </c>
      <c r="K20" s="223"/>
    </row>
    <row r="21" spans="1:11" ht="15.75">
      <c r="A21" s="236"/>
      <c r="B21" s="1234"/>
      <c r="C21" s="1234"/>
      <c r="D21" s="1234"/>
      <c r="E21" s="1234"/>
      <c r="F21" s="1234"/>
      <c r="G21" s="1234"/>
      <c r="H21" s="1234"/>
      <c r="I21" s="1234"/>
      <c r="J21" s="1234"/>
      <c r="K21" s="236"/>
    </row>
    <row r="22" spans="1:11" ht="15.75">
      <c r="A22" s="236"/>
      <c r="B22" s="1235" t="s">
        <v>1257</v>
      </c>
      <c r="C22" s="1235"/>
      <c r="D22" s="1235"/>
      <c r="E22" s="1235"/>
      <c r="F22" s="1235"/>
      <c r="G22" s="1235"/>
      <c r="H22" s="1235"/>
      <c r="I22" s="1235"/>
      <c r="J22" s="1235"/>
      <c r="K22" s="236"/>
    </row>
    <row r="23" spans="1:11" ht="15.75">
      <c r="A23" s="236"/>
      <c r="B23" s="146" t="s">
        <v>55</v>
      </c>
      <c r="C23" s="327">
        <v>0</v>
      </c>
      <c r="D23" s="327">
        <v>0</v>
      </c>
      <c r="E23" s="327">
        <v>0</v>
      </c>
      <c r="F23" s="327">
        <v>0</v>
      </c>
      <c r="G23" s="327">
        <v>650</v>
      </c>
      <c r="H23" s="327">
        <v>650</v>
      </c>
      <c r="I23" s="271">
        <f>1am!B12</f>
        <v>650</v>
      </c>
      <c r="J23" s="271">
        <f>1am!C12</f>
        <v>650</v>
      </c>
      <c r="K23" s="236"/>
    </row>
    <row r="24" spans="1:11" ht="15.75">
      <c r="A24" s="236"/>
      <c r="B24" s="244" t="s">
        <v>1420</v>
      </c>
      <c r="C24" s="1089">
        <v>46670</v>
      </c>
      <c r="D24" s="1089">
        <v>46670</v>
      </c>
      <c r="E24" s="244">
        <v>0</v>
      </c>
      <c r="F24" s="244">
        <v>0</v>
      </c>
      <c r="G24" s="244">
        <v>0</v>
      </c>
      <c r="H24" s="244">
        <v>0</v>
      </c>
      <c r="I24" s="271">
        <f>1am!H12</f>
        <v>46670</v>
      </c>
      <c r="J24" s="271">
        <f>1am!I12</f>
        <v>46670</v>
      </c>
      <c r="K24" s="236"/>
    </row>
    <row r="25" spans="1:11" ht="15.75">
      <c r="A25" s="236"/>
      <c r="B25" s="244" t="s">
        <v>1417</v>
      </c>
      <c r="C25" s="1090">
        <f>I25-G25</f>
        <v>101195.23999999999</v>
      </c>
      <c r="D25" s="1090">
        <f>J25-H25</f>
        <v>101195.23999999999</v>
      </c>
      <c r="E25" s="244">
        <v>0</v>
      </c>
      <c r="F25" s="244">
        <v>0</v>
      </c>
      <c r="G25" s="1090">
        <f>G20-G23</f>
        <v>4744</v>
      </c>
      <c r="H25" s="1090">
        <f>H20-H23</f>
        <v>4744</v>
      </c>
      <c r="I25" s="238">
        <f>I30-I24-I23</f>
        <v>105939.23999999999</v>
      </c>
      <c r="J25" s="238">
        <f>J30-J24-J23</f>
        <v>105939.23999999999</v>
      </c>
      <c r="K25" s="236"/>
    </row>
    <row r="26" spans="1:11" ht="15.75">
      <c r="A26" s="236"/>
      <c r="B26" s="244" t="s">
        <v>531</v>
      </c>
      <c r="C26" s="1089">
        <f>C25</f>
        <v>101195.23999999999</v>
      </c>
      <c r="D26" s="1089">
        <f>D25</f>
        <v>101195.23999999999</v>
      </c>
      <c r="E26" s="244">
        <v>0</v>
      </c>
      <c r="F26" s="244">
        <v>0</v>
      </c>
      <c r="G26" s="1089">
        <v>4686</v>
      </c>
      <c r="H26" s="1089">
        <v>4686</v>
      </c>
      <c r="I26" s="271">
        <f>C26+E26+G26</f>
        <v>105881.23999999999</v>
      </c>
      <c r="J26" s="271">
        <f>D26+F26+H26</f>
        <v>105881.23999999999</v>
      </c>
      <c r="K26" s="236"/>
    </row>
    <row r="27" spans="1:11" ht="15.75">
      <c r="A27" s="236"/>
      <c r="B27" s="244"/>
      <c r="C27" s="244"/>
      <c r="D27" s="244"/>
      <c r="E27" s="244"/>
      <c r="F27" s="244"/>
      <c r="G27" s="244"/>
      <c r="H27" s="244"/>
      <c r="I27" s="271"/>
      <c r="J27" s="245"/>
      <c r="K27" s="236"/>
    </row>
    <row r="28" spans="1:11" ht="15.75">
      <c r="A28" s="236"/>
      <c r="B28" s="244"/>
      <c r="C28" s="244"/>
      <c r="D28" s="244"/>
      <c r="E28" s="244"/>
      <c r="F28" s="244"/>
      <c r="G28" s="244"/>
      <c r="H28" s="244"/>
      <c r="I28" s="271"/>
      <c r="J28" s="245"/>
      <c r="K28" s="236"/>
    </row>
    <row r="29" spans="1:11" ht="15.75">
      <c r="A29" s="236"/>
      <c r="B29" s="244"/>
      <c r="C29" s="244"/>
      <c r="D29" s="244"/>
      <c r="E29" s="244"/>
      <c r="F29" s="244"/>
      <c r="G29" s="244"/>
      <c r="H29" s="244"/>
      <c r="I29" s="271"/>
      <c r="J29" s="245"/>
      <c r="K29" s="236"/>
    </row>
    <row r="30" spans="1:11" ht="15.75">
      <c r="A30" s="223"/>
      <c r="B30" s="226" t="s">
        <v>1261</v>
      </c>
      <c r="C30" s="1090">
        <f>C24+C25</f>
        <v>147865.24</v>
      </c>
      <c r="D30" s="1090">
        <f>D24+D25</f>
        <v>147865.24</v>
      </c>
      <c r="E30" s="1090">
        <v>0</v>
      </c>
      <c r="F30" s="1090">
        <v>0</v>
      </c>
      <c r="G30" s="1090">
        <f>G24+G25+G23</f>
        <v>5394</v>
      </c>
      <c r="H30" s="1090">
        <f>H24+H25+H23</f>
        <v>5394</v>
      </c>
      <c r="I30" s="238">
        <f>I20</f>
        <v>153259.24</v>
      </c>
      <c r="J30" s="238">
        <f>J20</f>
        <v>153259.24</v>
      </c>
      <c r="K30" s="223"/>
    </row>
  </sheetData>
  <sheetProtection/>
  <mergeCells count="12">
    <mergeCell ref="I12:J12"/>
    <mergeCell ref="B21:J21"/>
    <mergeCell ref="B22:J22"/>
    <mergeCell ref="K1:L1"/>
    <mergeCell ref="A5:K5"/>
    <mergeCell ref="A6:K6"/>
    <mergeCell ref="I11:J11"/>
    <mergeCell ref="B3:I3"/>
    <mergeCell ref="I1:J1"/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portrait" paperSize="9" scale="53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1">
      <selection activeCell="A33" sqref="A33"/>
    </sheetView>
  </sheetViews>
  <sheetFormatPr defaultColWidth="9.140625" defaultRowHeight="12.75"/>
  <cols>
    <col min="1" max="1" width="80.00390625" style="0" bestFit="1" customWidth="1"/>
    <col min="2" max="2" width="12.140625" style="0" customWidth="1"/>
    <col min="3" max="3" width="14.140625" style="0" customWidth="1"/>
    <col min="4" max="4" width="12.421875" style="0" customWidth="1"/>
    <col min="5" max="5" width="12.7109375" style="0" customWidth="1"/>
    <col min="6" max="6" width="16.7109375" style="0" customWidth="1"/>
    <col min="7" max="7" width="15.00390625" style="0" customWidth="1"/>
    <col min="8" max="8" width="15.421875" style="0" customWidth="1"/>
    <col min="9" max="9" width="16.140625" style="0" customWidth="1"/>
    <col min="10" max="10" width="10.57421875" style="0" customWidth="1"/>
    <col min="13" max="13" width="11.00390625" style="0" customWidth="1"/>
    <col min="14" max="14" width="10.140625" style="0" customWidth="1"/>
    <col min="15" max="15" width="12.28125" style="0" customWidth="1"/>
  </cols>
  <sheetData>
    <row r="1" spans="8:9" ht="12.75">
      <c r="H1" s="1171" t="s">
        <v>550</v>
      </c>
      <c r="I1" s="1162"/>
    </row>
    <row r="3" spans="1:9" ht="12.75">
      <c r="A3" s="1133" t="s">
        <v>868</v>
      </c>
      <c r="B3" s="1133"/>
      <c r="C3" s="1133"/>
      <c r="D3" s="1133"/>
      <c r="E3" s="1133"/>
      <c r="F3" s="1133"/>
      <c r="G3" s="1133"/>
      <c r="H3" s="1133"/>
      <c r="I3" s="1133"/>
    </row>
    <row r="5" spans="1:9" ht="27" customHeight="1">
      <c r="A5" s="1239" t="s">
        <v>895</v>
      </c>
      <c r="B5" s="1239"/>
      <c r="C5" s="1239"/>
      <c r="D5" s="1239"/>
      <c r="E5" s="1239"/>
      <c r="F5" s="1239"/>
      <c r="G5" s="1239"/>
      <c r="H5" s="1239"/>
      <c r="I5" s="1239"/>
    </row>
    <row r="7" spans="1:9" ht="12.75">
      <c r="A7" s="1"/>
      <c r="B7" s="1"/>
      <c r="C7" s="1"/>
      <c r="D7" s="1"/>
      <c r="E7" s="1"/>
      <c r="F7" s="1"/>
      <c r="G7" s="1"/>
      <c r="I7" s="706" t="s">
        <v>161</v>
      </c>
    </row>
    <row r="8" spans="1:9" ht="31.5" customHeight="1">
      <c r="A8" s="1121"/>
      <c r="B8" s="1199" t="s">
        <v>343</v>
      </c>
      <c r="C8" s="1201"/>
      <c r="D8" s="1237" t="s">
        <v>344</v>
      </c>
      <c r="E8" s="1238"/>
      <c r="F8" s="1237" t="s">
        <v>345</v>
      </c>
      <c r="G8" s="1238"/>
      <c r="H8" s="1237" t="s">
        <v>1038</v>
      </c>
      <c r="I8" s="1238"/>
    </row>
    <row r="9" spans="1:15" ht="12.75" customHeight="1">
      <c r="A9" s="53" t="s">
        <v>1037</v>
      </c>
      <c r="B9" s="1119" t="s">
        <v>1534</v>
      </c>
      <c r="C9" s="1120" t="s">
        <v>1537</v>
      </c>
      <c r="D9" s="1119" t="s">
        <v>1534</v>
      </c>
      <c r="E9" s="1120" t="s">
        <v>1537</v>
      </c>
      <c r="F9" s="1119" t="s">
        <v>1534</v>
      </c>
      <c r="G9" s="1120" t="s">
        <v>1537</v>
      </c>
      <c r="H9" s="1119" t="s">
        <v>1534</v>
      </c>
      <c r="I9" s="1120" t="s">
        <v>1537</v>
      </c>
      <c r="J9" t="s">
        <v>875</v>
      </c>
      <c r="K9" t="s">
        <v>876</v>
      </c>
      <c r="L9" t="s">
        <v>938</v>
      </c>
      <c r="M9" t="s">
        <v>877</v>
      </c>
      <c r="N9" t="s">
        <v>1038</v>
      </c>
      <c r="O9" t="s">
        <v>880</v>
      </c>
    </row>
    <row r="10" spans="1:8" ht="15.75">
      <c r="A10" s="53"/>
      <c r="B10" s="235"/>
      <c r="C10" s="235"/>
      <c r="D10" s="1097"/>
      <c r="E10" s="1097"/>
      <c r="F10" s="1097"/>
      <c r="G10" s="1097"/>
      <c r="H10" s="1098"/>
    </row>
    <row r="11" spans="1:16" ht="12.75">
      <c r="A11" s="46" t="s">
        <v>517</v>
      </c>
      <c r="B11" s="35">
        <f aca="true" t="shared" si="0" ref="B11:I11">+B12+B13+B14+B15+B16</f>
        <v>633109.28</v>
      </c>
      <c r="C11" s="35">
        <f t="shared" si="0"/>
        <v>645724.28</v>
      </c>
      <c r="D11" s="35">
        <f t="shared" si="0"/>
        <v>83509.272</v>
      </c>
      <c r="E11" s="35">
        <f t="shared" si="0"/>
        <v>80768.272</v>
      </c>
      <c r="F11" s="35">
        <f t="shared" si="0"/>
        <v>127086</v>
      </c>
      <c r="G11" s="35">
        <f t="shared" si="0"/>
        <v>127086</v>
      </c>
      <c r="H11" s="35">
        <f t="shared" si="0"/>
        <v>843704.552</v>
      </c>
      <c r="I11" s="35">
        <f t="shared" si="0"/>
        <v>853578.552</v>
      </c>
      <c r="J11" s="35">
        <f aca="true" t="shared" si="1" ref="J11:O11">+J12+J13+J14+J15+J16</f>
        <v>101280</v>
      </c>
      <c r="K11" s="35">
        <f t="shared" si="1"/>
        <v>77556</v>
      </c>
      <c r="L11" s="35">
        <f t="shared" si="1"/>
        <v>37142</v>
      </c>
      <c r="M11" s="35">
        <f t="shared" si="1"/>
        <v>153259.24</v>
      </c>
      <c r="N11" s="35">
        <f t="shared" si="1"/>
        <v>369237.24</v>
      </c>
      <c r="O11" s="35">
        <f t="shared" si="1"/>
        <v>937400.5519999999</v>
      </c>
      <c r="P11" s="194">
        <f>SUM(P12:P16)</f>
        <v>930497</v>
      </c>
    </row>
    <row r="12" spans="1:16" ht="12.75">
      <c r="A12" s="275" t="s">
        <v>518</v>
      </c>
      <c r="B12" s="624">
        <f aca="true" t="shared" si="2" ref="B12:C14">H12-D12</f>
        <v>152318</v>
      </c>
      <c r="C12" s="624">
        <f t="shared" si="2"/>
        <v>156924</v>
      </c>
      <c r="D12" s="624">
        <v>1200</v>
      </c>
      <c r="E12" s="624">
        <v>1200</v>
      </c>
      <c r="F12" s="624">
        <v>0</v>
      </c>
      <c r="G12" s="624">
        <v>0</v>
      </c>
      <c r="H12" s="15">
        <f>2am!B37</f>
        <v>153518</v>
      </c>
      <c r="I12" s="15">
        <f>2am!C37</f>
        <v>158124</v>
      </c>
      <c r="J12" s="8">
        <f>'10m'!I15</f>
        <v>50864</v>
      </c>
      <c r="K12" s="8">
        <f>'11m'!I16</f>
        <v>35525</v>
      </c>
      <c r="L12" s="8">
        <f>'12m'!I15</f>
        <v>20128</v>
      </c>
      <c r="M12" s="8">
        <f>'13m'!I15</f>
        <v>97465</v>
      </c>
      <c r="N12" s="8">
        <f>SUM(J12:M12)</f>
        <v>203982</v>
      </c>
      <c r="O12" s="8">
        <f>H12+N12</f>
        <v>357500</v>
      </c>
      <c r="P12">
        <v>353720</v>
      </c>
    </row>
    <row r="13" spans="1:16" ht="12.75">
      <c r="A13" s="275" t="s">
        <v>519</v>
      </c>
      <c r="B13" s="624">
        <f t="shared" si="2"/>
        <v>25525.96</v>
      </c>
      <c r="C13" s="624">
        <f t="shared" si="2"/>
        <v>26757.96</v>
      </c>
      <c r="D13" s="624">
        <v>324</v>
      </c>
      <c r="E13" s="624">
        <v>324</v>
      </c>
      <c r="F13" s="624">
        <v>0</v>
      </c>
      <c r="G13" s="624">
        <v>0</v>
      </c>
      <c r="H13" s="15">
        <f>2am!D37</f>
        <v>25849.96</v>
      </c>
      <c r="I13" s="15">
        <f>2am!E37</f>
        <v>27081.96</v>
      </c>
      <c r="J13" s="8">
        <f>'10m'!I16</f>
        <v>13672</v>
      </c>
      <c r="K13" s="8">
        <f>'11m'!I17</f>
        <v>9545</v>
      </c>
      <c r="L13" s="8">
        <f>'12m'!I16</f>
        <v>5180</v>
      </c>
      <c r="M13" s="8">
        <f>'13m'!I16</f>
        <v>24629.13</v>
      </c>
      <c r="N13" s="8">
        <f>SUM(J13:M13)</f>
        <v>53026.130000000005</v>
      </c>
      <c r="O13" s="8">
        <f>H13+N13</f>
        <v>78876.09</v>
      </c>
      <c r="P13">
        <v>77855</v>
      </c>
    </row>
    <row r="14" spans="1:16" ht="12.75">
      <c r="A14" s="275" t="s">
        <v>521</v>
      </c>
      <c r="B14" s="624">
        <f t="shared" si="2"/>
        <v>116814.08000000002</v>
      </c>
      <c r="C14" s="624">
        <f t="shared" si="2"/>
        <v>131462.08000000002</v>
      </c>
      <c r="D14" s="624">
        <f>2am!F28+2am!F30+2am!F33+2am!F34+2am!F35</f>
        <v>47686.272</v>
      </c>
      <c r="E14" s="624">
        <f>2am!G28+2am!G30+2am!G33+2am!G34+2am!G35</f>
        <v>47686.272</v>
      </c>
      <c r="F14" s="624">
        <v>0</v>
      </c>
      <c r="G14" s="624">
        <v>0</v>
      </c>
      <c r="H14" s="15">
        <f>2am!F37</f>
        <v>164500.352</v>
      </c>
      <c r="I14" s="15">
        <f>2am!G37</f>
        <v>179148.352</v>
      </c>
      <c r="J14" s="8">
        <f>'10m'!I17</f>
        <v>36744</v>
      </c>
      <c r="K14" s="8">
        <f>'11m'!I18</f>
        <v>32486</v>
      </c>
      <c r="L14" s="8">
        <f>'12m'!I17</f>
        <v>11834</v>
      </c>
      <c r="M14" s="8">
        <f>'13m'!I17</f>
        <v>31165.11</v>
      </c>
      <c r="N14" s="8">
        <f>SUM(J14:M14)</f>
        <v>112229.11</v>
      </c>
      <c r="O14" s="8">
        <f>H14+N14</f>
        <v>276729.462</v>
      </c>
      <c r="P14">
        <v>274627</v>
      </c>
    </row>
    <row r="15" spans="1:16" ht="12.75">
      <c r="A15" s="275" t="s">
        <v>520</v>
      </c>
      <c r="B15" s="624">
        <v>0</v>
      </c>
      <c r="C15" s="624">
        <v>0</v>
      </c>
      <c r="D15" s="624">
        <v>0</v>
      </c>
      <c r="E15" s="624">
        <v>0</v>
      </c>
      <c r="F15" s="624">
        <v>122342</v>
      </c>
      <c r="G15" s="624">
        <v>122342</v>
      </c>
      <c r="H15" s="15">
        <f>2am!H37</f>
        <v>122342</v>
      </c>
      <c r="I15" s="15">
        <f>2am!I37</f>
        <v>122342</v>
      </c>
      <c r="O15" s="8">
        <f>H15</f>
        <v>122342</v>
      </c>
      <c r="P15">
        <v>122342</v>
      </c>
    </row>
    <row r="16" spans="1:16" ht="12.75">
      <c r="A16" s="275" t="s">
        <v>522</v>
      </c>
      <c r="B16" s="15">
        <f aca="true" t="shared" si="3" ref="B16:I16">SUM(B17+B19+B20+B21)</f>
        <v>338451.24</v>
      </c>
      <c r="C16" s="15">
        <f t="shared" si="3"/>
        <v>330580.24</v>
      </c>
      <c r="D16" s="15">
        <f t="shared" si="3"/>
        <v>34299</v>
      </c>
      <c r="E16" s="15">
        <f t="shared" si="3"/>
        <v>31558</v>
      </c>
      <c r="F16" s="15">
        <f t="shared" si="3"/>
        <v>4744</v>
      </c>
      <c r="G16" s="15">
        <f t="shared" si="3"/>
        <v>4744</v>
      </c>
      <c r="H16" s="15">
        <f t="shared" si="3"/>
        <v>377494.24</v>
      </c>
      <c r="I16" s="15">
        <f t="shared" si="3"/>
        <v>366882.24</v>
      </c>
      <c r="O16" s="8">
        <f>O17+O19+O20+O21</f>
        <v>101953</v>
      </c>
      <c r="P16">
        <v>101953</v>
      </c>
    </row>
    <row r="17" spans="1:15" ht="12.75">
      <c r="A17" s="313" t="s">
        <v>523</v>
      </c>
      <c r="B17" s="624">
        <f>2am!J19-1568+B18</f>
        <v>269451.24</v>
      </c>
      <c r="C17" s="624">
        <f>2am!K19-1568+C18</f>
        <v>265511.24</v>
      </c>
      <c r="D17" s="624">
        <f>1568+D18</f>
        <v>13688</v>
      </c>
      <c r="E17" s="624">
        <f>1568+E18</f>
        <v>13688</v>
      </c>
      <c r="F17" s="624">
        <f>F18</f>
        <v>4744</v>
      </c>
      <c r="G17" s="624">
        <f>G18</f>
        <v>4744</v>
      </c>
      <c r="H17" s="15">
        <f>2am!J37+'13m'!I25+'12m'!I29+'11m'!I26+'10m'!I25</f>
        <v>287883.24</v>
      </c>
      <c r="I17" s="15">
        <f>2am!K37+'13m'!J25+'12m'!J29+'11m'!J26+'10m'!J25</f>
        <v>283943.24</v>
      </c>
      <c r="O17" s="8">
        <f>1m!B15</f>
        <v>12342</v>
      </c>
    </row>
    <row r="18" spans="1:15" s="26" customFormat="1" ht="12.75">
      <c r="A18" s="768" t="s">
        <v>1360</v>
      </c>
      <c r="B18" s="1094">
        <f>'10m'!C25+'11m'!C26+'12m'!C29+'13m'!C25</f>
        <v>258677.24</v>
      </c>
      <c r="C18" s="1094">
        <f>'10m'!D25+'11m'!D26+'12m'!D29+'13m'!D25</f>
        <v>258677.24</v>
      </c>
      <c r="D18" s="1094">
        <f>'12m'!E29</f>
        <v>12120</v>
      </c>
      <c r="E18" s="1094">
        <f>'12m'!F29</f>
        <v>12120</v>
      </c>
      <c r="F18" s="1094">
        <f>'13m'!G25</f>
        <v>4744</v>
      </c>
      <c r="G18" s="1094">
        <f>'13m'!H25</f>
        <v>4744</v>
      </c>
      <c r="H18" s="345">
        <f>'10m'!I25+'11m'!I26+'12m'!I29+'13m'!I25</f>
        <v>275541.24</v>
      </c>
      <c r="I18" s="345">
        <f>'10m'!J25+'11m'!J26+'12m'!J29+'13m'!J25</f>
        <v>275541.24</v>
      </c>
      <c r="J18" s="1083">
        <f>'10m'!I25</f>
        <v>98034</v>
      </c>
      <c r="K18" s="1083">
        <f>'11m'!I26</f>
        <v>50122</v>
      </c>
      <c r="L18" s="1083">
        <f>'12m'!I29</f>
        <v>21446</v>
      </c>
      <c r="M18" s="1083">
        <f>'13m'!I25</f>
        <v>105939.23999999999</v>
      </c>
      <c r="N18" s="1084">
        <f>SUM(J18:M18)</f>
        <v>275541.24</v>
      </c>
      <c r="O18" s="8"/>
    </row>
    <row r="19" spans="1:15" ht="12.75">
      <c r="A19" s="313" t="s">
        <v>524</v>
      </c>
      <c r="B19" s="624">
        <f>3bm!C37+3bm!C38</f>
        <v>69000</v>
      </c>
      <c r="C19" s="624">
        <f>3bm!D37+3bm!D38+3bm!D36</f>
        <v>65069</v>
      </c>
      <c r="D19" s="624">
        <f>H19-B19</f>
        <v>20611</v>
      </c>
      <c r="E19" s="624">
        <f>I19-C19</f>
        <v>17870</v>
      </c>
      <c r="F19" s="624">
        <v>0</v>
      </c>
      <c r="G19" s="624">
        <v>0</v>
      </c>
      <c r="H19" s="15">
        <f>2am!L37</f>
        <v>89611</v>
      </c>
      <c r="I19" s="15">
        <f>2am!M37</f>
        <v>82939</v>
      </c>
      <c r="O19" s="8">
        <f aca="true" t="shared" si="4" ref="O19:O44">H19</f>
        <v>89611</v>
      </c>
    </row>
    <row r="20" spans="1:15" ht="12.75">
      <c r="A20" s="313" t="s">
        <v>525</v>
      </c>
      <c r="B20" s="624">
        <v>0</v>
      </c>
      <c r="C20" s="624">
        <v>0</v>
      </c>
      <c r="D20" s="624">
        <v>0</v>
      </c>
      <c r="E20" s="624">
        <v>0</v>
      </c>
      <c r="F20" s="624">
        <v>0</v>
      </c>
      <c r="G20" s="624">
        <v>0</v>
      </c>
      <c r="H20" s="15">
        <v>0</v>
      </c>
      <c r="I20" s="15">
        <v>0</v>
      </c>
      <c r="O20" s="8">
        <f t="shared" si="4"/>
        <v>0</v>
      </c>
    </row>
    <row r="21" spans="1:15" ht="12.75">
      <c r="A21" s="313" t="s">
        <v>526</v>
      </c>
      <c r="B21" s="624">
        <v>0</v>
      </c>
      <c r="C21" s="624">
        <v>0</v>
      </c>
      <c r="D21" s="624">
        <v>0</v>
      </c>
      <c r="E21" s="624">
        <v>0</v>
      </c>
      <c r="F21" s="624">
        <v>0</v>
      </c>
      <c r="G21" s="624">
        <v>0</v>
      </c>
      <c r="H21" s="15">
        <v>0</v>
      </c>
      <c r="I21" s="15">
        <v>0</v>
      </c>
      <c r="O21" s="8">
        <f t="shared" si="4"/>
        <v>0</v>
      </c>
    </row>
    <row r="22" spans="1:15" ht="12.75">
      <c r="A22" s="330" t="s">
        <v>542</v>
      </c>
      <c r="B22" s="35">
        <f aca="true" t="shared" si="5" ref="B22:I22">+B23+B24+B25</f>
        <v>775619</v>
      </c>
      <c r="C22" s="35">
        <f t="shared" si="5"/>
        <v>777948</v>
      </c>
      <c r="D22" s="35">
        <f t="shared" si="5"/>
        <v>22998.714267716536</v>
      </c>
      <c r="E22" s="35">
        <f t="shared" si="5"/>
        <v>27050.714267716536</v>
      </c>
      <c r="F22" s="35">
        <f t="shared" si="5"/>
        <v>0</v>
      </c>
      <c r="G22" s="35">
        <f t="shared" si="5"/>
        <v>0</v>
      </c>
      <c r="H22" s="35">
        <f t="shared" si="5"/>
        <v>798617.7142677165</v>
      </c>
      <c r="I22" s="35">
        <f t="shared" si="5"/>
        <v>804998.7142677165</v>
      </c>
      <c r="O22" s="8">
        <f t="shared" si="4"/>
        <v>798617.7142677165</v>
      </c>
    </row>
    <row r="23" spans="1:15" ht="12.75">
      <c r="A23" s="756" t="s">
        <v>543</v>
      </c>
      <c r="B23" s="329">
        <f>H23</f>
        <v>748336</v>
      </c>
      <c r="C23" s="329">
        <f>I23-3302</f>
        <v>748336</v>
      </c>
      <c r="D23" s="329">
        <f>H23-B23</f>
        <v>0</v>
      </c>
      <c r="E23" s="329">
        <f>I23-C23</f>
        <v>3302</v>
      </c>
      <c r="F23" s="329">
        <v>0</v>
      </c>
      <c r="G23" s="329">
        <v>0</v>
      </c>
      <c r="H23" s="7">
        <f>+4bm!F8-4bm!F19-4bm!F20-4bm!F22</f>
        <v>748336</v>
      </c>
      <c r="I23" s="7">
        <f>+4bm!G8-4bm!G19-4bm!G20-4bm!G22</f>
        <v>751638</v>
      </c>
      <c r="O23" s="8">
        <f t="shared" si="4"/>
        <v>748336</v>
      </c>
    </row>
    <row r="24" spans="1:15" ht="12.75">
      <c r="A24" s="756" t="s">
        <v>544</v>
      </c>
      <c r="B24" s="329">
        <f>H24</f>
        <v>5080</v>
      </c>
      <c r="C24" s="329">
        <f>I24</f>
        <v>7121</v>
      </c>
      <c r="D24" s="329">
        <f>H24-B24</f>
        <v>0</v>
      </c>
      <c r="E24" s="329">
        <f>I24-C24</f>
        <v>0</v>
      </c>
      <c r="F24" s="329">
        <v>0</v>
      </c>
      <c r="G24" s="329">
        <v>0</v>
      </c>
      <c r="H24" s="7">
        <f>+4bm!F24</f>
        <v>5080</v>
      </c>
      <c r="I24" s="7">
        <f>+4bm!G24</f>
        <v>7121</v>
      </c>
      <c r="O24" s="8">
        <f t="shared" si="4"/>
        <v>5080</v>
      </c>
    </row>
    <row r="25" spans="1:15" ht="12.75">
      <c r="A25" s="756" t="s">
        <v>249</v>
      </c>
      <c r="B25" s="7">
        <f>SUM(B26:B33)</f>
        <v>22203</v>
      </c>
      <c r="C25" s="7">
        <f>SUM(C26:C33)</f>
        <v>22491</v>
      </c>
      <c r="D25" s="7">
        <f>SUM(D26:D33)</f>
        <v>22998.714267716536</v>
      </c>
      <c r="E25" s="7">
        <f>SUM(E26:E33)</f>
        <v>23748.714267716536</v>
      </c>
      <c r="F25" s="7">
        <f>SUM(F26:F32)</f>
        <v>0</v>
      </c>
      <c r="G25" s="7">
        <f>SUM(G26:G32)</f>
        <v>0</v>
      </c>
      <c r="H25" s="7">
        <f>SUM(H26:H33)</f>
        <v>45201.71426771654</v>
      </c>
      <c r="I25" s="7">
        <f>SUM(I26:I33)</f>
        <v>46239.71426771654</v>
      </c>
      <c r="O25" s="8">
        <f t="shared" si="4"/>
        <v>45201.71426771654</v>
      </c>
    </row>
    <row r="26" spans="1:15" ht="12.75">
      <c r="A26" s="767" t="s">
        <v>250</v>
      </c>
      <c r="B26" s="329">
        <f>H26</f>
        <v>0</v>
      </c>
      <c r="C26" s="329">
        <v>0</v>
      </c>
      <c r="D26" s="329">
        <f>H26-B26</f>
        <v>0</v>
      </c>
      <c r="E26" s="329">
        <f>I26-C26</f>
        <v>750</v>
      </c>
      <c r="F26" s="329">
        <v>0</v>
      </c>
      <c r="G26" s="329">
        <v>0</v>
      </c>
      <c r="H26" s="7">
        <f>+4bm!F30</f>
        <v>0</v>
      </c>
      <c r="I26" s="7">
        <f>+4bm!G30</f>
        <v>750</v>
      </c>
      <c r="O26" s="8">
        <f t="shared" si="4"/>
        <v>0</v>
      </c>
    </row>
    <row r="27" spans="1:15" ht="12.75">
      <c r="A27" s="767" t="s">
        <v>251</v>
      </c>
      <c r="B27" s="329">
        <f>H27-D27</f>
        <v>0</v>
      </c>
      <c r="C27" s="329">
        <v>288</v>
      </c>
      <c r="D27" s="329">
        <f>H27</f>
        <v>1582</v>
      </c>
      <c r="E27" s="329">
        <f>I27-C27</f>
        <v>1582</v>
      </c>
      <c r="F27" s="329">
        <v>0</v>
      </c>
      <c r="G27" s="329">
        <v>0</v>
      </c>
      <c r="H27" s="7">
        <f>+4bm!F32</f>
        <v>1582</v>
      </c>
      <c r="I27" s="7">
        <f>+4bm!G32</f>
        <v>1870</v>
      </c>
      <c r="O27" s="8">
        <f t="shared" si="4"/>
        <v>1582</v>
      </c>
    </row>
    <row r="28" spans="1:15" ht="12.75">
      <c r="A28" s="767" t="s">
        <v>252</v>
      </c>
      <c r="B28" s="329">
        <v>0</v>
      </c>
      <c r="C28" s="329">
        <v>0</v>
      </c>
      <c r="D28" s="329">
        <v>0</v>
      </c>
      <c r="E28" s="329">
        <v>0</v>
      </c>
      <c r="F28" s="329">
        <v>0</v>
      </c>
      <c r="G28" s="329">
        <v>0</v>
      </c>
      <c r="H28" s="7">
        <f>+4bm!F36</f>
        <v>0</v>
      </c>
      <c r="I28" s="7">
        <f>+4bm!G36</f>
        <v>0</v>
      </c>
      <c r="O28" s="8">
        <f t="shared" si="4"/>
        <v>0</v>
      </c>
    </row>
    <row r="29" spans="1:15" ht="12.75">
      <c r="A29" s="767" t="s">
        <v>696</v>
      </c>
      <c r="B29" s="329">
        <f aca="true" t="shared" si="6" ref="B29:C32">H29-D29</f>
        <v>0</v>
      </c>
      <c r="C29" s="329">
        <f t="shared" si="6"/>
        <v>0</v>
      </c>
      <c r="D29" s="329">
        <f>H29</f>
        <v>6425.714267716536</v>
      </c>
      <c r="E29" s="329">
        <f>I29</f>
        <v>6425.714267716536</v>
      </c>
      <c r="F29" s="329">
        <v>0</v>
      </c>
      <c r="G29" s="329">
        <v>0</v>
      </c>
      <c r="H29" s="7">
        <f>SUM(4bm!F37)</f>
        <v>6425.714267716536</v>
      </c>
      <c r="I29" s="7">
        <f>SUM(4bm!G37)</f>
        <v>6425.714267716536</v>
      </c>
      <c r="O29" s="8">
        <f t="shared" si="4"/>
        <v>6425.714267716536</v>
      </c>
    </row>
    <row r="30" spans="1:15" ht="12.75">
      <c r="A30" s="767" t="s">
        <v>697</v>
      </c>
      <c r="B30" s="329">
        <f t="shared" si="6"/>
        <v>0</v>
      </c>
      <c r="C30" s="329">
        <f t="shared" si="6"/>
        <v>0</v>
      </c>
      <c r="D30" s="329">
        <f>H30</f>
        <v>5500</v>
      </c>
      <c r="E30" s="329">
        <f>I30</f>
        <v>5500</v>
      </c>
      <c r="F30" s="329">
        <v>0</v>
      </c>
      <c r="G30" s="329">
        <v>0</v>
      </c>
      <c r="H30" s="7">
        <f>SUM(4bm!F39)</f>
        <v>5500</v>
      </c>
      <c r="I30" s="7">
        <f>SUM(4bm!G39)</f>
        <v>5500</v>
      </c>
      <c r="O30" s="8">
        <f t="shared" si="4"/>
        <v>5500</v>
      </c>
    </row>
    <row r="31" spans="1:15" ht="12.75">
      <c r="A31" s="767" t="s">
        <v>698</v>
      </c>
      <c r="B31" s="329">
        <f t="shared" si="6"/>
        <v>4050</v>
      </c>
      <c r="C31" s="329">
        <f t="shared" si="6"/>
        <v>4050</v>
      </c>
      <c r="D31" s="329">
        <v>0</v>
      </c>
      <c r="E31" s="329">
        <v>0</v>
      </c>
      <c r="F31" s="329">
        <v>0</v>
      </c>
      <c r="G31" s="329">
        <v>0</v>
      </c>
      <c r="H31" s="7">
        <f>SUM(4bm!F41)</f>
        <v>4050</v>
      </c>
      <c r="I31" s="7">
        <f>SUM(4bm!G41)</f>
        <v>4050</v>
      </c>
      <c r="O31" s="8">
        <f t="shared" si="4"/>
        <v>4050</v>
      </c>
    </row>
    <row r="32" spans="1:15" ht="12.75">
      <c r="A32" s="767" t="s">
        <v>338</v>
      </c>
      <c r="B32" s="329">
        <f t="shared" si="6"/>
        <v>0</v>
      </c>
      <c r="C32" s="329">
        <f t="shared" si="6"/>
        <v>0</v>
      </c>
      <c r="D32" s="329">
        <f>H32</f>
        <v>9491</v>
      </c>
      <c r="E32" s="329">
        <f>I32</f>
        <v>9491</v>
      </c>
      <c r="F32" s="329">
        <v>0</v>
      </c>
      <c r="G32" s="329">
        <v>0</v>
      </c>
      <c r="H32" s="7">
        <f>4bm!F43</f>
        <v>9491</v>
      </c>
      <c r="I32" s="7">
        <f>4bm!G43</f>
        <v>9491</v>
      </c>
      <c r="O32" s="8"/>
    </row>
    <row r="33" spans="1:15" ht="12.75">
      <c r="A33" s="767" t="s">
        <v>1334</v>
      </c>
      <c r="B33" s="329">
        <f>H33</f>
        <v>18153</v>
      </c>
      <c r="C33" s="329">
        <f>I33</f>
        <v>18153</v>
      </c>
      <c r="D33" s="329">
        <v>0</v>
      </c>
      <c r="E33" s="329">
        <v>0</v>
      </c>
      <c r="F33" s="329">
        <v>0</v>
      </c>
      <c r="G33" s="329">
        <v>0</v>
      </c>
      <c r="H33" s="7">
        <f>4bm!F44</f>
        <v>18153</v>
      </c>
      <c r="I33" s="7">
        <f>4bm!G44</f>
        <v>18153</v>
      </c>
      <c r="O33" s="8"/>
    </row>
    <row r="34" spans="1:15" ht="12.75">
      <c r="A34" s="46" t="s">
        <v>701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35">
        <v>0</v>
      </c>
      <c r="I34" s="35">
        <v>0</v>
      </c>
      <c r="O34" s="8">
        <f>H34</f>
        <v>0</v>
      </c>
    </row>
    <row r="35" spans="1:15" ht="12.75">
      <c r="A35" s="12" t="s">
        <v>699</v>
      </c>
      <c r="B35" s="35">
        <f aca="true" t="shared" si="7" ref="B35:I35">+B36+B37</f>
        <v>242370.26244000002</v>
      </c>
      <c r="C35" s="35">
        <f t="shared" si="7"/>
        <v>242370.26244000002</v>
      </c>
      <c r="D35" s="35">
        <f t="shared" si="7"/>
        <v>0</v>
      </c>
      <c r="E35" s="35">
        <f t="shared" si="7"/>
        <v>0</v>
      </c>
      <c r="F35" s="35">
        <f t="shared" si="7"/>
        <v>0</v>
      </c>
      <c r="G35" s="35">
        <f t="shared" si="7"/>
        <v>0</v>
      </c>
      <c r="H35" s="35">
        <f t="shared" si="7"/>
        <v>242370.26244000002</v>
      </c>
      <c r="I35" s="35">
        <f t="shared" si="7"/>
        <v>242370.26244000002</v>
      </c>
      <c r="O35" s="8">
        <f t="shared" si="4"/>
        <v>242370.26244000002</v>
      </c>
    </row>
    <row r="36" spans="1:15" ht="12.75">
      <c r="A36" s="275" t="s">
        <v>529</v>
      </c>
      <c r="B36" s="624">
        <f>H36</f>
        <v>213346.15594000003</v>
      </c>
      <c r="C36" s="624">
        <f>I36</f>
        <v>213346.15594000003</v>
      </c>
      <c r="D36" s="624">
        <v>0</v>
      </c>
      <c r="E36" s="624">
        <v>0</v>
      </c>
      <c r="F36" s="624">
        <v>0</v>
      </c>
      <c r="G36" s="624">
        <v>0</v>
      </c>
      <c r="H36" s="15">
        <f>2am!N37</f>
        <v>213346.15594000003</v>
      </c>
      <c r="I36" s="15">
        <f>2am!O37</f>
        <v>213346.15594000003</v>
      </c>
      <c r="O36" s="8">
        <f t="shared" si="4"/>
        <v>213346.15594000003</v>
      </c>
    </row>
    <row r="37" spans="1:15" ht="12.75">
      <c r="A37" s="275" t="s">
        <v>253</v>
      </c>
      <c r="B37" s="624">
        <f>H37</f>
        <v>29024.1065</v>
      </c>
      <c r="C37" s="624">
        <f>I37</f>
        <v>29024.1065</v>
      </c>
      <c r="D37" s="624">
        <v>0</v>
      </c>
      <c r="E37" s="624">
        <v>0</v>
      </c>
      <c r="F37" s="624">
        <v>0</v>
      </c>
      <c r="G37" s="624">
        <v>0</v>
      </c>
      <c r="H37" s="15">
        <f>+4bm!F45</f>
        <v>29024.1065</v>
      </c>
      <c r="I37" s="15">
        <f>+4bm!G45</f>
        <v>29024.1065</v>
      </c>
      <c r="O37" s="8">
        <f t="shared" si="4"/>
        <v>29024.1065</v>
      </c>
    </row>
    <row r="38" spans="1:15" ht="12.75">
      <c r="A38" s="46" t="s">
        <v>700</v>
      </c>
      <c r="B38" s="35">
        <f aca="true" t="shared" si="8" ref="B38:I38">+B39+B42</f>
        <v>400</v>
      </c>
      <c r="C38" s="35">
        <f t="shared" si="8"/>
        <v>400</v>
      </c>
      <c r="D38" s="35">
        <f t="shared" si="8"/>
        <v>0</v>
      </c>
      <c r="E38" s="35">
        <f t="shared" si="8"/>
        <v>0</v>
      </c>
      <c r="F38" s="35">
        <f t="shared" si="8"/>
        <v>0</v>
      </c>
      <c r="G38" s="35">
        <f t="shared" si="8"/>
        <v>0</v>
      </c>
      <c r="H38" s="35">
        <f t="shared" si="8"/>
        <v>400</v>
      </c>
      <c r="I38" s="35">
        <f t="shared" si="8"/>
        <v>400</v>
      </c>
      <c r="O38" s="8">
        <f t="shared" si="4"/>
        <v>400</v>
      </c>
    </row>
    <row r="39" spans="1:15" ht="12.75">
      <c r="A39" s="150" t="s">
        <v>449</v>
      </c>
      <c r="B39" s="7">
        <f aca="true" t="shared" si="9" ref="B39:I39">B40+B41</f>
        <v>200</v>
      </c>
      <c r="C39" s="7">
        <f t="shared" si="9"/>
        <v>200</v>
      </c>
      <c r="D39" s="7">
        <f t="shared" si="9"/>
        <v>0</v>
      </c>
      <c r="E39" s="7">
        <f t="shared" si="9"/>
        <v>0</v>
      </c>
      <c r="F39" s="7">
        <f t="shared" si="9"/>
        <v>0</v>
      </c>
      <c r="G39" s="7">
        <f t="shared" si="9"/>
        <v>0</v>
      </c>
      <c r="H39" s="7">
        <f t="shared" si="9"/>
        <v>200</v>
      </c>
      <c r="I39" s="7">
        <f t="shared" si="9"/>
        <v>200</v>
      </c>
      <c r="O39" s="8">
        <f t="shared" si="4"/>
        <v>200</v>
      </c>
    </row>
    <row r="40" spans="1:15" ht="12.75">
      <c r="A40" s="768" t="s">
        <v>1405</v>
      </c>
      <c r="B40" s="1094">
        <f>H40</f>
        <v>100</v>
      </c>
      <c r="C40" s="1094">
        <f>I40</f>
        <v>100</v>
      </c>
      <c r="D40" s="1094">
        <v>0</v>
      </c>
      <c r="E40" s="1094">
        <v>0</v>
      </c>
      <c r="F40" s="1094">
        <v>0</v>
      </c>
      <c r="G40" s="1094">
        <v>0</v>
      </c>
      <c r="H40" s="7">
        <f>5m!B15</f>
        <v>100</v>
      </c>
      <c r="I40" s="7">
        <f>H40</f>
        <v>100</v>
      </c>
      <c r="O40" s="8">
        <f>H40</f>
        <v>100</v>
      </c>
    </row>
    <row r="41" spans="1:15" ht="12.75">
      <c r="A41" s="768" t="s">
        <v>1406</v>
      </c>
      <c r="B41" s="1094">
        <f>H41</f>
        <v>100</v>
      </c>
      <c r="C41" s="1094">
        <f>I41</f>
        <v>100</v>
      </c>
      <c r="D41" s="1094">
        <v>0</v>
      </c>
      <c r="E41" s="1094">
        <v>0</v>
      </c>
      <c r="F41" s="1094">
        <v>0</v>
      </c>
      <c r="G41" s="1094">
        <v>0</v>
      </c>
      <c r="H41" s="7">
        <f>5m!B16</f>
        <v>100</v>
      </c>
      <c r="I41" s="7">
        <f>H41</f>
        <v>100</v>
      </c>
      <c r="O41" s="8">
        <f t="shared" si="4"/>
        <v>100</v>
      </c>
    </row>
    <row r="42" spans="1:15" ht="12.75">
      <c r="A42" s="150" t="s">
        <v>1134</v>
      </c>
      <c r="B42" s="345">
        <f aca="true" t="shared" si="10" ref="B42:I42">SUM(B43:B44)</f>
        <v>200</v>
      </c>
      <c r="C42" s="345">
        <f t="shared" si="10"/>
        <v>200</v>
      </c>
      <c r="D42" s="345">
        <f t="shared" si="10"/>
        <v>0</v>
      </c>
      <c r="E42" s="345">
        <f t="shared" si="10"/>
        <v>0</v>
      </c>
      <c r="F42" s="345">
        <f t="shared" si="10"/>
        <v>0</v>
      </c>
      <c r="G42" s="345">
        <f t="shared" si="10"/>
        <v>0</v>
      </c>
      <c r="H42" s="345">
        <f t="shared" si="10"/>
        <v>200</v>
      </c>
      <c r="I42" s="345">
        <f t="shared" si="10"/>
        <v>200</v>
      </c>
      <c r="O42" s="8">
        <f t="shared" si="4"/>
        <v>200</v>
      </c>
    </row>
    <row r="43" spans="1:15" ht="12.75">
      <c r="A43" s="768" t="s">
        <v>1405</v>
      </c>
      <c r="B43" s="1094">
        <f>H43</f>
        <v>100</v>
      </c>
      <c r="C43" s="1094">
        <f>I43</f>
        <v>100</v>
      </c>
      <c r="D43" s="1094">
        <v>0</v>
      </c>
      <c r="E43" s="1094">
        <v>0</v>
      </c>
      <c r="F43" s="1094">
        <v>0</v>
      </c>
      <c r="G43" s="1094">
        <v>0</v>
      </c>
      <c r="H43" s="7">
        <f>+5m!B19</f>
        <v>100</v>
      </c>
      <c r="I43" s="1108">
        <f>H43</f>
        <v>100</v>
      </c>
      <c r="O43" s="8">
        <f t="shared" si="4"/>
        <v>100</v>
      </c>
    </row>
    <row r="44" spans="1:15" ht="12.75">
      <c r="A44" s="768" t="s">
        <v>1406</v>
      </c>
      <c r="B44" s="1094">
        <f>H44</f>
        <v>100</v>
      </c>
      <c r="C44" s="1094">
        <f>I44</f>
        <v>100</v>
      </c>
      <c r="D44" s="1094">
        <v>0</v>
      </c>
      <c r="E44" s="1094">
        <v>0</v>
      </c>
      <c r="F44" s="1094">
        <v>0</v>
      </c>
      <c r="G44" s="1094">
        <v>0</v>
      </c>
      <c r="H44" s="7">
        <f>5m!B20</f>
        <v>100</v>
      </c>
      <c r="I44" s="1108">
        <f>H44</f>
        <v>100</v>
      </c>
      <c r="O44" s="8">
        <f t="shared" si="4"/>
        <v>100</v>
      </c>
    </row>
    <row r="45" spans="1:15" ht="15.75">
      <c r="A45" s="153" t="s">
        <v>450</v>
      </c>
      <c r="B45" s="155">
        <f aca="true" t="shared" si="11" ref="B45:H45">+B11+B22+B35+B38</f>
        <v>1651498.54244</v>
      </c>
      <c r="C45" s="155">
        <f t="shared" si="11"/>
        <v>1666442.54244</v>
      </c>
      <c r="D45" s="155">
        <f t="shared" si="11"/>
        <v>106507.98626771654</v>
      </c>
      <c r="E45" s="155">
        <f t="shared" si="11"/>
        <v>107818.98626771654</v>
      </c>
      <c r="F45" s="155">
        <f t="shared" si="11"/>
        <v>127086</v>
      </c>
      <c r="G45" s="155">
        <f t="shared" si="11"/>
        <v>127086</v>
      </c>
      <c r="H45" s="155">
        <f t="shared" si="11"/>
        <v>1885092.5287077164</v>
      </c>
      <c r="I45" s="155">
        <f aca="true" t="shared" si="12" ref="I45:O45">+I11+I22+I35+I38</f>
        <v>1901347.5287077164</v>
      </c>
      <c r="J45" s="155">
        <f t="shared" si="12"/>
        <v>101280</v>
      </c>
      <c r="K45" s="155">
        <f t="shared" si="12"/>
        <v>77556</v>
      </c>
      <c r="L45" s="155">
        <f t="shared" si="12"/>
        <v>37142</v>
      </c>
      <c r="M45" s="155">
        <f t="shared" si="12"/>
        <v>153259.24</v>
      </c>
      <c r="N45" s="155">
        <f t="shared" si="12"/>
        <v>369237.24</v>
      </c>
      <c r="O45" s="155">
        <f t="shared" si="12"/>
        <v>1978788.5287077164</v>
      </c>
    </row>
    <row r="46" spans="1:9" ht="12.75">
      <c r="A46" s="757"/>
      <c r="B46" s="1082"/>
      <c r="C46" s="1082"/>
      <c r="D46" s="1082"/>
      <c r="E46" s="1082"/>
      <c r="F46" s="1082"/>
      <c r="G46" s="1082"/>
      <c r="H46" s="274"/>
      <c r="I46" s="706"/>
    </row>
    <row r="47" spans="1:9" ht="12.75" customHeight="1">
      <c r="A47" s="12" t="s">
        <v>1294</v>
      </c>
      <c r="B47" s="35">
        <f aca="true" t="shared" si="13" ref="B47:I47">+B48+B49+B50+B51</f>
        <v>959596.493564</v>
      </c>
      <c r="C47" s="35">
        <f t="shared" si="13"/>
        <v>969470.493564</v>
      </c>
      <c r="D47" s="35">
        <f t="shared" si="13"/>
        <v>37846</v>
      </c>
      <c r="E47" s="35">
        <f t="shared" si="13"/>
        <v>37846</v>
      </c>
      <c r="F47" s="35">
        <f t="shared" si="13"/>
        <v>0</v>
      </c>
      <c r="G47" s="35">
        <f t="shared" si="13"/>
        <v>0</v>
      </c>
      <c r="H47" s="35">
        <f t="shared" si="13"/>
        <v>997442.493564</v>
      </c>
      <c r="I47" s="35">
        <f t="shared" si="13"/>
        <v>1007316.493564</v>
      </c>
    </row>
    <row r="48" spans="1:9" ht="12.75">
      <c r="A48" s="14" t="s">
        <v>1407</v>
      </c>
      <c r="B48" s="624">
        <f>1am!B37+1am!B38</f>
        <v>9125</v>
      </c>
      <c r="C48" s="624">
        <f>1am!C37+1am!C38+1am!C42</f>
        <v>14611</v>
      </c>
      <c r="D48" s="624">
        <f>1am!B39+1am!B40+1am!B41</f>
        <v>37846</v>
      </c>
      <c r="E48" s="624">
        <f>1am!C39+1am!C40+1am!C41</f>
        <v>37846</v>
      </c>
      <c r="F48" s="624">
        <v>0</v>
      </c>
      <c r="G48" s="624">
        <v>0</v>
      </c>
      <c r="H48" s="18">
        <f>1am!B43</f>
        <v>46971</v>
      </c>
      <c r="I48" s="18">
        <f>1am!C43</f>
        <v>52457</v>
      </c>
    </row>
    <row r="49" spans="1:9" ht="12.75">
      <c r="A49" s="497" t="s">
        <v>1408</v>
      </c>
      <c r="B49" s="624">
        <f>1am!D22+1am!D23+1am!D24+1am!D25+1am!D27</f>
        <v>124600</v>
      </c>
      <c r="C49" s="624">
        <f>1am!E22+1am!E23+1am!E24+1am!E25+1am!E27</f>
        <v>124600</v>
      </c>
      <c r="D49" s="624">
        <v>0</v>
      </c>
      <c r="E49" s="624">
        <v>0</v>
      </c>
      <c r="F49" s="624">
        <v>0</v>
      </c>
      <c r="G49" s="624">
        <v>0</v>
      </c>
      <c r="H49" s="18">
        <f>1am!D43</f>
        <v>124600</v>
      </c>
      <c r="I49" s="18">
        <f>1am!E43</f>
        <v>124600</v>
      </c>
    </row>
    <row r="50" spans="1:9" ht="12.75">
      <c r="A50" s="497" t="s">
        <v>1409</v>
      </c>
      <c r="B50" s="624">
        <f>H50</f>
        <v>651100.493564</v>
      </c>
      <c r="C50" s="624">
        <f>I50</f>
        <v>655488.493564</v>
      </c>
      <c r="D50" s="624">
        <v>0</v>
      </c>
      <c r="E50" s="624">
        <v>0</v>
      </c>
      <c r="F50" s="624">
        <v>0</v>
      </c>
      <c r="G50" s="624">
        <v>0</v>
      </c>
      <c r="H50" s="555">
        <f>1am!F43</f>
        <v>651100.493564</v>
      </c>
      <c r="I50" s="555">
        <f>1am!G43</f>
        <v>655488.493564</v>
      </c>
    </row>
    <row r="51" spans="1:9" ht="12.75">
      <c r="A51" s="497" t="s">
        <v>1410</v>
      </c>
      <c r="B51" s="624">
        <f>1am!H16+1am!H20+1am!H36+1am!J43</f>
        <v>174771</v>
      </c>
      <c r="C51" s="624">
        <f>1am!I16+1am!I20+1am!I36+1am!K43</f>
        <v>174771</v>
      </c>
      <c r="D51" s="624">
        <v>0</v>
      </c>
      <c r="E51" s="624">
        <v>0</v>
      </c>
      <c r="F51" s="624">
        <v>0</v>
      </c>
      <c r="G51" s="624">
        <v>0</v>
      </c>
      <c r="H51" s="18">
        <f>1am!H43+1am!J43</f>
        <v>174771</v>
      </c>
      <c r="I51" s="18">
        <f>1am!I43+1am!K43</f>
        <v>174771</v>
      </c>
    </row>
    <row r="52" spans="1:9" ht="12.75">
      <c r="A52" s="46" t="s">
        <v>1411</v>
      </c>
      <c r="B52" s="49">
        <f>+B53+B54+B55+B56</f>
        <v>797609.7496322835</v>
      </c>
      <c r="C52" s="49">
        <f>+C53+C54+C55+C56</f>
        <v>799938.7496322835</v>
      </c>
      <c r="D52" s="49">
        <f>+D53+D54+D55</f>
        <v>22998.714267716536</v>
      </c>
      <c r="E52" s="49">
        <f>+E53+E54+E55</f>
        <v>27050.714267716536</v>
      </c>
      <c r="F52" s="49">
        <f>+F53+F54+F55</f>
        <v>0</v>
      </c>
      <c r="G52" s="49">
        <f>+G53+G54+G55</f>
        <v>0</v>
      </c>
      <c r="H52" s="49">
        <f>+H53+H54+H55+H56</f>
        <v>820608.4639</v>
      </c>
      <c r="I52" s="49">
        <f>+I53+I54+I55+I56</f>
        <v>826989.4639</v>
      </c>
    </row>
    <row r="53" spans="1:9" ht="12.75">
      <c r="A53" s="622" t="s">
        <v>1412</v>
      </c>
      <c r="B53" s="624">
        <f>H53-D53</f>
        <v>51992.28573228346</v>
      </c>
      <c r="C53" s="624">
        <f>I53-E53</f>
        <v>54321.28573228346</v>
      </c>
      <c r="D53" s="624">
        <f>D22</f>
        <v>22998.714267716536</v>
      </c>
      <c r="E53" s="624">
        <f>E22</f>
        <v>27050.714267716536</v>
      </c>
      <c r="F53" s="624">
        <v>0</v>
      </c>
      <c r="G53" s="624">
        <v>0</v>
      </c>
      <c r="H53" s="639">
        <f>4am!B8</f>
        <v>74991</v>
      </c>
      <c r="I53" s="639">
        <f>4am!C8</f>
        <v>81372</v>
      </c>
    </row>
    <row r="54" spans="1:12" ht="12.75">
      <c r="A54" s="622" t="s">
        <v>1413</v>
      </c>
      <c r="B54" s="624">
        <f aca="true" t="shared" si="14" ref="B54:C56">H54</f>
        <v>75490.4639</v>
      </c>
      <c r="C54" s="624">
        <f t="shared" si="14"/>
        <v>75490.4639</v>
      </c>
      <c r="D54" s="624">
        <v>0</v>
      </c>
      <c r="E54" s="624">
        <v>0</v>
      </c>
      <c r="F54" s="624">
        <v>0</v>
      </c>
      <c r="G54" s="624">
        <v>0</v>
      </c>
      <c r="H54" s="639">
        <f>4am!B21-4am!B31</f>
        <v>75490.4639</v>
      </c>
      <c r="I54" s="639">
        <f>4am!C21-4am!C31</f>
        <v>75490.4639</v>
      </c>
      <c r="L54">
        <v>4729</v>
      </c>
    </row>
    <row r="55" spans="1:9" ht="16.5" customHeight="1">
      <c r="A55" s="632" t="s">
        <v>691</v>
      </c>
      <c r="B55" s="1095">
        <f t="shared" si="14"/>
        <v>660592</v>
      </c>
      <c r="C55" s="1095">
        <f t="shared" si="14"/>
        <v>660592</v>
      </c>
      <c r="D55" s="1095">
        <v>0</v>
      </c>
      <c r="E55" s="1095">
        <v>0</v>
      </c>
      <c r="F55" s="1095">
        <v>0</v>
      </c>
      <c r="G55" s="1095">
        <v>0</v>
      </c>
      <c r="H55" s="639">
        <f>4am!B32</f>
        <v>660592</v>
      </c>
      <c r="I55" s="639">
        <f>4am!C32</f>
        <v>660592</v>
      </c>
    </row>
    <row r="56" spans="1:9" ht="16.5" customHeight="1">
      <c r="A56" s="632" t="s">
        <v>1456</v>
      </c>
      <c r="B56" s="1095">
        <f t="shared" si="14"/>
        <v>9535</v>
      </c>
      <c r="C56" s="1095">
        <f t="shared" si="14"/>
        <v>9535</v>
      </c>
      <c r="D56" s="1095">
        <v>0</v>
      </c>
      <c r="E56" s="1095">
        <v>0</v>
      </c>
      <c r="F56" s="1095">
        <v>0</v>
      </c>
      <c r="G56" s="1095">
        <v>0</v>
      </c>
      <c r="H56" s="639">
        <f>4am!B44</f>
        <v>9535</v>
      </c>
      <c r="I56" s="639">
        <f>4am!C44</f>
        <v>9535</v>
      </c>
    </row>
    <row r="57" spans="1:9" ht="12.75">
      <c r="A57" s="634" t="s">
        <v>692</v>
      </c>
      <c r="B57" s="160">
        <v>0</v>
      </c>
      <c r="C57" s="160">
        <v>0</v>
      </c>
      <c r="D57" s="160">
        <v>0</v>
      </c>
      <c r="E57" s="160">
        <v>0</v>
      </c>
      <c r="F57" s="160">
        <v>0</v>
      </c>
      <c r="G57" s="160">
        <v>0</v>
      </c>
      <c r="H57" s="184">
        <v>0</v>
      </c>
      <c r="I57" s="184">
        <v>0</v>
      </c>
    </row>
    <row r="58" spans="1:9" ht="12.75">
      <c r="A58" s="12" t="s">
        <v>693</v>
      </c>
      <c r="B58" s="49">
        <f aca="true" t="shared" si="15" ref="B58:I58">+B60+B61+B63+B64</f>
        <v>67042</v>
      </c>
      <c r="C58" s="49">
        <f t="shared" si="15"/>
        <v>67042</v>
      </c>
      <c r="D58" s="49">
        <f t="shared" si="15"/>
        <v>0</v>
      </c>
      <c r="E58" s="49">
        <f t="shared" si="15"/>
        <v>0</v>
      </c>
      <c r="F58" s="49">
        <f t="shared" si="15"/>
        <v>0</v>
      </c>
      <c r="G58" s="49">
        <f t="shared" si="15"/>
        <v>0</v>
      </c>
      <c r="H58" s="49">
        <f t="shared" si="15"/>
        <v>67042</v>
      </c>
      <c r="I58" s="49">
        <f t="shared" si="15"/>
        <v>67042</v>
      </c>
    </row>
    <row r="59" spans="1:9" ht="15.75" customHeight="1">
      <c r="A59" s="321" t="s">
        <v>422</v>
      </c>
      <c r="B59" s="1094"/>
      <c r="C59" s="1094"/>
      <c r="D59" s="1094"/>
      <c r="E59" s="1094"/>
      <c r="F59" s="1094"/>
      <c r="G59" s="1094"/>
      <c r="H59" s="39">
        <f>H60</f>
        <v>59537</v>
      </c>
      <c r="I59" s="39">
        <f>I60</f>
        <v>59537</v>
      </c>
    </row>
    <row r="60" spans="1:9" ht="27" customHeight="1">
      <c r="A60" s="742" t="s">
        <v>423</v>
      </c>
      <c r="B60" s="1096">
        <v>59537</v>
      </c>
      <c r="C60" s="1096">
        <v>59537</v>
      </c>
      <c r="D60" s="1096">
        <v>0</v>
      </c>
      <c r="E60" s="1096">
        <v>0</v>
      </c>
      <c r="F60" s="1096">
        <v>0</v>
      </c>
      <c r="G60" s="1096">
        <v>0</v>
      </c>
      <c r="H60" s="39">
        <f>pénzmaradvány!B6</f>
        <v>59537</v>
      </c>
      <c r="I60" s="39">
        <f>H60</f>
        <v>59537</v>
      </c>
    </row>
    <row r="61" spans="1:9" ht="22.5" customHeight="1" hidden="1">
      <c r="A61" s="743" t="s">
        <v>545</v>
      </c>
      <c r="B61" s="1096"/>
      <c r="C61" s="1096"/>
      <c r="D61" s="1096"/>
      <c r="E61" s="1096"/>
      <c r="F61" s="1096"/>
      <c r="G61" s="1096"/>
      <c r="H61" s="39"/>
      <c r="I61" s="39"/>
    </row>
    <row r="62" spans="1:9" ht="21" customHeight="1">
      <c r="A62" s="712" t="s">
        <v>424</v>
      </c>
      <c r="B62" s="1096"/>
      <c r="C62" s="1096"/>
      <c r="D62" s="1096"/>
      <c r="E62" s="1096"/>
      <c r="F62" s="1096"/>
      <c r="G62" s="1096"/>
      <c r="H62" s="39">
        <f>H63</f>
        <v>7505</v>
      </c>
      <c r="I62" s="39">
        <f>I63</f>
        <v>7505</v>
      </c>
    </row>
    <row r="63" spans="1:9" ht="28.5" customHeight="1">
      <c r="A63" s="743" t="s">
        <v>425</v>
      </c>
      <c r="B63" s="1096">
        <v>7505</v>
      </c>
      <c r="C63" s="1096">
        <v>7505</v>
      </c>
      <c r="D63" s="1096">
        <v>0</v>
      </c>
      <c r="E63" s="1096">
        <v>0</v>
      </c>
      <c r="F63" s="1096">
        <v>0</v>
      </c>
      <c r="G63" s="1096">
        <v>0</v>
      </c>
      <c r="H63" s="39">
        <f>4am!B47</f>
        <v>7505</v>
      </c>
      <c r="I63" s="39">
        <f>4am!C47</f>
        <v>7505</v>
      </c>
    </row>
    <row r="64" spans="1:9" ht="18.75" customHeight="1">
      <c r="A64" s="743" t="s">
        <v>426</v>
      </c>
      <c r="B64" s="1096"/>
      <c r="C64" s="1096"/>
      <c r="D64" s="1096"/>
      <c r="E64" s="1096"/>
      <c r="F64" s="1096"/>
      <c r="G64" s="1096"/>
      <c r="H64" s="39">
        <f>+4am!B46</f>
        <v>0</v>
      </c>
      <c r="I64" s="39">
        <f>+4am!C46</f>
        <v>0</v>
      </c>
    </row>
    <row r="65" spans="1:9" ht="15.75">
      <c r="A65" s="153" t="s">
        <v>447</v>
      </c>
      <c r="B65" s="769">
        <f aca="true" t="shared" si="16" ref="B65:I65">+B47+B52+B58</f>
        <v>1824248.2431962835</v>
      </c>
      <c r="C65" s="769">
        <f t="shared" si="16"/>
        <v>1836451.2431962835</v>
      </c>
      <c r="D65" s="769">
        <f t="shared" si="16"/>
        <v>60844.71426771654</v>
      </c>
      <c r="E65" s="769">
        <f t="shared" si="16"/>
        <v>64896.71426771654</v>
      </c>
      <c r="F65" s="769">
        <f t="shared" si="16"/>
        <v>0</v>
      </c>
      <c r="G65" s="769">
        <f t="shared" si="16"/>
        <v>0</v>
      </c>
      <c r="H65" s="769">
        <f t="shared" si="16"/>
        <v>1885092.957464</v>
      </c>
      <c r="I65" s="769">
        <f t="shared" si="16"/>
        <v>1901347.957464</v>
      </c>
    </row>
  </sheetData>
  <sheetProtection/>
  <mergeCells count="7">
    <mergeCell ref="H1:I1"/>
    <mergeCell ref="A3:I3"/>
    <mergeCell ref="A5:I5"/>
    <mergeCell ref="B8:C8"/>
    <mergeCell ref="D8:E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26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2" max="2" width="6.28125" style="0" customWidth="1"/>
    <col min="3" max="3" width="56.57421875" style="0" bestFit="1" customWidth="1"/>
  </cols>
  <sheetData>
    <row r="2" spans="3:4" ht="12.75">
      <c r="C2" s="1171" t="s">
        <v>553</v>
      </c>
      <c r="D2" s="1162"/>
    </row>
    <row r="3" spans="3:4" ht="12.75">
      <c r="C3" s="27"/>
      <c r="D3" s="27"/>
    </row>
    <row r="4" spans="1:5" ht="12.75">
      <c r="A4" s="1133" t="s">
        <v>1170</v>
      </c>
      <c r="B4" s="1133"/>
      <c r="C4" s="1133"/>
      <c r="D4" s="1133"/>
      <c r="E4" s="32"/>
    </row>
    <row r="6" spans="1:10" ht="15.75">
      <c r="A6" s="1203" t="s">
        <v>554</v>
      </c>
      <c r="B6" s="1203"/>
      <c r="C6" s="1203"/>
      <c r="D6" s="1203"/>
      <c r="E6" s="258"/>
      <c r="F6" s="258"/>
      <c r="G6" s="258"/>
      <c r="H6" s="258"/>
      <c r="I6" s="258"/>
      <c r="J6" s="258"/>
    </row>
    <row r="9" spans="2:3" s="10" customFormat="1" ht="12.75">
      <c r="B9" s="12" t="s">
        <v>193</v>
      </c>
      <c r="C9" s="45" t="s">
        <v>713</v>
      </c>
    </row>
    <row r="10" spans="2:3" s="10" customFormat="1" ht="12.75">
      <c r="B10" s="1241" t="s">
        <v>1136</v>
      </c>
      <c r="C10" s="1242"/>
    </row>
    <row r="11" spans="2:3" ht="12.75">
      <c r="B11" s="5" t="s">
        <v>1039</v>
      </c>
      <c r="C11" s="620" t="s">
        <v>410</v>
      </c>
    </row>
    <row r="12" spans="2:3" ht="12.75">
      <c r="B12" s="5" t="s">
        <v>1040</v>
      </c>
      <c r="C12" s="28" t="s">
        <v>714</v>
      </c>
    </row>
    <row r="13" spans="2:3" ht="12.75">
      <c r="B13" s="5" t="s">
        <v>1056</v>
      </c>
      <c r="C13" s="28" t="s">
        <v>715</v>
      </c>
    </row>
    <row r="14" spans="2:3" ht="12.75">
      <c r="B14" s="1243" t="s">
        <v>448</v>
      </c>
      <c r="C14" s="1244"/>
    </row>
    <row r="15" spans="2:3" ht="12.75">
      <c r="B15" s="260" t="s">
        <v>716</v>
      </c>
      <c r="C15" s="261"/>
    </row>
    <row r="16" spans="2:3" ht="12.75">
      <c r="B16" s="5" t="s">
        <v>1039</v>
      </c>
      <c r="C16" s="28" t="s">
        <v>1508</v>
      </c>
    </row>
    <row r="17" spans="2:3" ht="12.75">
      <c r="B17" s="5" t="s">
        <v>1040</v>
      </c>
      <c r="C17" s="28" t="s">
        <v>269</v>
      </c>
    </row>
    <row r="18" spans="2:3" ht="12.75">
      <c r="B18" s="5" t="s">
        <v>1056</v>
      </c>
      <c r="C18" s="28" t="s">
        <v>270</v>
      </c>
    </row>
    <row r="19" spans="2:3" ht="12.75">
      <c r="B19" s="5" t="s">
        <v>1058</v>
      </c>
      <c r="C19" s="28" t="s">
        <v>789</v>
      </c>
    </row>
    <row r="20" spans="2:3" ht="12.75">
      <c r="B20" s="5" t="s">
        <v>1059</v>
      </c>
      <c r="C20" s="28" t="s">
        <v>271</v>
      </c>
    </row>
    <row r="21" spans="2:3" ht="12.75">
      <c r="B21" s="5" t="s">
        <v>1060</v>
      </c>
      <c r="C21" s="28" t="s">
        <v>272</v>
      </c>
    </row>
    <row r="22" spans="2:3" ht="12.75">
      <c r="B22" s="5" t="s">
        <v>1061</v>
      </c>
      <c r="C22" s="28" t="s">
        <v>273</v>
      </c>
    </row>
    <row r="23" spans="2:3" ht="12.75">
      <c r="B23" s="5" t="s">
        <v>1062</v>
      </c>
      <c r="C23" s="28" t="s">
        <v>274</v>
      </c>
    </row>
    <row r="24" spans="2:3" ht="12.75">
      <c r="B24" s="5" t="s">
        <v>1063</v>
      </c>
      <c r="C24" s="28" t="s">
        <v>275</v>
      </c>
    </row>
    <row r="25" spans="2:3" ht="12.75">
      <c r="B25" s="5" t="s">
        <v>1064</v>
      </c>
      <c r="C25" s="28" t="s">
        <v>276</v>
      </c>
    </row>
    <row r="26" spans="2:3" ht="12.75">
      <c r="B26" s="1240" t="s">
        <v>717</v>
      </c>
      <c r="C26" s="1240"/>
    </row>
  </sheetData>
  <sheetProtection/>
  <mergeCells count="6">
    <mergeCell ref="B26:C26"/>
    <mergeCell ref="C2:D2"/>
    <mergeCell ref="A6:D6"/>
    <mergeCell ref="B10:C10"/>
    <mergeCell ref="B14:C14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2:J2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9.140625" style="211" customWidth="1"/>
    <col min="2" max="2" width="39.421875" style="211" customWidth="1"/>
    <col min="3" max="3" width="15.57421875" style="211" customWidth="1"/>
    <col min="4" max="4" width="9.57421875" style="211" hidden="1" customWidth="1"/>
    <col min="5" max="5" width="14.00390625" style="211" customWidth="1"/>
    <col min="6" max="16384" width="9.140625" style="211" customWidth="1"/>
  </cols>
  <sheetData>
    <row r="2" spans="1:8" ht="12.75">
      <c r="A2" s="25"/>
      <c r="B2" s="25"/>
      <c r="C2" s="25"/>
      <c r="D2" s="1129" t="s">
        <v>551</v>
      </c>
      <c r="E2" s="1129"/>
      <c r="G2" s="240"/>
      <c r="H2" s="240"/>
    </row>
    <row r="3" spans="1:10" ht="12.75">
      <c r="A3" s="25"/>
      <c r="B3" s="25"/>
      <c r="C3" s="25"/>
      <c r="D3" s="10"/>
      <c r="E3" s="10"/>
      <c r="F3" s="240"/>
      <c r="G3" s="240"/>
      <c r="H3" s="240"/>
      <c r="I3" s="240"/>
      <c r="J3" s="240"/>
    </row>
    <row r="4" spans="1:10" ht="12.75">
      <c r="A4" s="1133" t="s">
        <v>1170</v>
      </c>
      <c r="B4" s="1133"/>
      <c r="C4" s="1133"/>
      <c r="D4" s="1133"/>
      <c r="E4" s="1133"/>
      <c r="F4" s="241"/>
      <c r="I4" s="240"/>
      <c r="J4" s="240"/>
    </row>
    <row r="5" spans="1:5" ht="12.75">
      <c r="A5" s="25"/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10" ht="18.75">
      <c r="A7" s="1186" t="s">
        <v>1414</v>
      </c>
      <c r="B7" s="1186"/>
      <c r="C7" s="1186"/>
      <c r="D7" s="1186"/>
      <c r="E7" s="1186"/>
      <c r="F7" s="242"/>
      <c r="G7" s="242"/>
      <c r="H7" s="242"/>
      <c r="I7" s="242"/>
      <c r="J7" s="242"/>
    </row>
    <row r="8" spans="1:10" ht="18.75">
      <c r="A8" s="1186" t="s">
        <v>1171</v>
      </c>
      <c r="B8" s="1186"/>
      <c r="C8" s="1186"/>
      <c r="D8" s="1186"/>
      <c r="E8" s="1186"/>
      <c r="F8" s="242"/>
      <c r="G8" s="242"/>
      <c r="H8" s="242"/>
      <c r="I8" s="242"/>
      <c r="J8" s="242"/>
    </row>
    <row r="9" spans="1:10" ht="18.75">
      <c r="A9" s="222"/>
      <c r="B9" s="222"/>
      <c r="C9" s="222"/>
      <c r="D9" s="222"/>
      <c r="E9" s="222"/>
      <c r="F9" s="242"/>
      <c r="G9" s="242"/>
      <c r="H9" s="242"/>
      <c r="I9" s="242"/>
      <c r="J9" s="242"/>
    </row>
    <row r="10" spans="1:10" ht="18.75">
      <c r="A10" s="222"/>
      <c r="B10" s="222"/>
      <c r="C10" s="222"/>
      <c r="D10" s="222"/>
      <c r="E10" s="222"/>
      <c r="F10" s="242"/>
      <c r="G10" s="242"/>
      <c r="H10" s="242"/>
      <c r="I10" s="242"/>
      <c r="J10" s="242"/>
    </row>
    <row r="13" spans="3:4" ht="12.75">
      <c r="C13" s="1202" t="s">
        <v>161</v>
      </c>
      <c r="D13" s="1202"/>
    </row>
    <row r="14" spans="2:4" s="223" customFormat="1" ht="32.25" customHeight="1">
      <c r="B14" s="224" t="s">
        <v>1037</v>
      </c>
      <c r="C14" s="225" t="s">
        <v>160</v>
      </c>
      <c r="D14" s="243" t="s">
        <v>280</v>
      </c>
    </row>
    <row r="15" spans="2:4" s="232" customFormat="1" ht="15.75">
      <c r="B15" s="1245" t="s">
        <v>1252</v>
      </c>
      <c r="C15" s="1245"/>
      <c r="D15" s="1245"/>
    </row>
    <row r="16" spans="2:4" s="236" customFormat="1" ht="15.75">
      <c r="B16" s="244" t="s">
        <v>1135</v>
      </c>
      <c r="C16" s="271" t="e">
        <f>#REF!</f>
        <v>#REF!</v>
      </c>
      <c r="D16" s="245"/>
    </row>
    <row r="17" spans="2:4" s="236" customFormat="1" ht="15.75">
      <c r="B17" s="244" t="s">
        <v>1253</v>
      </c>
      <c r="C17" s="271" t="e">
        <f>#REF!</f>
        <v>#REF!</v>
      </c>
      <c r="D17" s="245"/>
    </row>
    <row r="18" spans="2:4" s="236" customFormat="1" ht="15.75">
      <c r="B18" s="244" t="s">
        <v>1254</v>
      </c>
      <c r="C18" s="271" t="e">
        <f>#REF!</f>
        <v>#REF!</v>
      </c>
      <c r="D18" s="245"/>
    </row>
    <row r="19" spans="2:4" s="236" customFormat="1" ht="15.75">
      <c r="B19" s="244" t="s">
        <v>1249</v>
      </c>
      <c r="C19" s="271" t="e">
        <f>+#REF!</f>
        <v>#REF!</v>
      </c>
      <c r="D19" s="245"/>
    </row>
    <row r="20" spans="2:4" s="236" customFormat="1" ht="15.75">
      <c r="B20" s="244" t="s">
        <v>1255</v>
      </c>
      <c r="C20" s="271">
        <v>0</v>
      </c>
      <c r="D20" s="245"/>
    </row>
    <row r="21" spans="2:4" s="223" customFormat="1" ht="15.75">
      <c r="B21" s="226" t="s">
        <v>1256</v>
      </c>
      <c r="C21" s="238" t="e">
        <f>SUM(C16:C20)</f>
        <v>#REF!</v>
      </c>
      <c r="D21" s="246">
        <f>SUM(D16:D20)</f>
        <v>0</v>
      </c>
    </row>
    <row r="22" spans="2:4" s="236" customFormat="1" ht="15.75">
      <c r="B22" s="1234"/>
      <c r="C22" s="1234"/>
      <c r="D22" s="1234"/>
    </row>
    <row r="23" spans="2:4" s="236" customFormat="1" ht="15.75">
      <c r="B23" s="1235" t="s">
        <v>1257</v>
      </c>
      <c r="C23" s="1235"/>
      <c r="D23" s="1235"/>
    </row>
    <row r="24" spans="2:4" s="236" customFormat="1" ht="15.75">
      <c r="B24" s="146" t="s">
        <v>1258</v>
      </c>
      <c r="C24" s="271">
        <v>0</v>
      </c>
      <c r="D24" s="146"/>
    </row>
    <row r="25" spans="2:4" s="236" customFormat="1" ht="15.75">
      <c r="B25" s="244" t="s">
        <v>409</v>
      </c>
      <c r="C25" s="271" t="e">
        <f>#REF!</f>
        <v>#REF!</v>
      </c>
      <c r="D25" s="245"/>
    </row>
    <row r="26" spans="2:4" s="236" customFormat="1" ht="15.75">
      <c r="B26" s="244" t="s">
        <v>1259</v>
      </c>
      <c r="C26" s="271" t="e">
        <f>+#REF!</f>
        <v>#REF!</v>
      </c>
      <c r="D26" s="245"/>
    </row>
    <row r="27" spans="2:4" s="236" customFormat="1" ht="15.75">
      <c r="B27" s="244" t="s">
        <v>1260</v>
      </c>
      <c r="C27" s="271" t="e">
        <f>#REF!</f>
        <v>#REF!</v>
      </c>
      <c r="D27" s="245"/>
    </row>
    <row r="28" spans="2:4" s="223" customFormat="1" ht="15.75">
      <c r="B28" s="226" t="s">
        <v>1261</v>
      </c>
      <c r="C28" s="238" t="e">
        <f>SUM(C24:C27)</f>
        <v>#REF!</v>
      </c>
      <c r="D28" s="239">
        <f>SUM(D25:D27)</f>
        <v>0</v>
      </c>
    </row>
    <row r="35" s="25" customFormat="1" ht="12.75"/>
    <row r="36" s="25" customFormat="1" ht="12.75"/>
    <row r="37" s="25" customFormat="1" ht="12.75"/>
    <row r="38" s="25" customFormat="1" ht="12.75"/>
  </sheetData>
  <sheetProtection/>
  <mergeCells count="8">
    <mergeCell ref="D2:E2"/>
    <mergeCell ref="B23:D23"/>
    <mergeCell ref="C13:D13"/>
    <mergeCell ref="B15:D15"/>
    <mergeCell ref="B22:D22"/>
    <mergeCell ref="A4:E4"/>
    <mergeCell ref="A7:E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D7F5F7"/>
  </sheetPr>
  <dimension ref="A2:G31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5.00390625" style="0" customWidth="1"/>
    <col min="3" max="3" width="12.00390625" style="0" customWidth="1"/>
  </cols>
  <sheetData>
    <row r="2" spans="3:5" ht="12.75">
      <c r="C2" s="1129" t="s">
        <v>555</v>
      </c>
      <c r="D2" s="1129"/>
      <c r="E2" s="52"/>
    </row>
    <row r="3" spans="3:5" ht="12.75">
      <c r="C3" s="52"/>
      <c r="D3" s="52"/>
      <c r="E3" s="52"/>
    </row>
    <row r="4" spans="1:5" ht="12.75">
      <c r="A4" s="1133"/>
      <c r="B4" s="1133"/>
      <c r="C4" s="1133"/>
      <c r="D4" s="1133"/>
      <c r="E4" s="52"/>
    </row>
    <row r="6" spans="1:5" ht="15.75">
      <c r="A6" s="1203"/>
      <c r="B6" s="1203"/>
      <c r="C6" s="1203"/>
      <c r="D6" s="1203"/>
      <c r="E6" s="258"/>
    </row>
    <row r="7" spans="1:5" ht="15.75">
      <c r="A7" s="142"/>
      <c r="B7" s="142"/>
      <c r="C7" s="142"/>
      <c r="D7" s="142"/>
      <c r="E7" s="142"/>
    </row>
    <row r="8" spans="1:5" ht="15.75">
      <c r="A8" s="142"/>
      <c r="B8" s="142"/>
      <c r="C8" s="142"/>
      <c r="D8" s="142"/>
      <c r="E8" s="142"/>
    </row>
    <row r="9" spans="1:5" ht="15.75">
      <c r="A9" s="142"/>
      <c r="B9" s="142"/>
      <c r="C9" s="142"/>
      <c r="D9" s="142"/>
      <c r="E9" s="142"/>
    </row>
    <row r="10" ht="12.75">
      <c r="C10" s="41" t="s">
        <v>161</v>
      </c>
    </row>
    <row r="11" spans="2:3" s="10" customFormat="1" ht="12.75">
      <c r="B11" s="213" t="s">
        <v>1283</v>
      </c>
      <c r="C11" s="12"/>
    </row>
    <row r="12" spans="2:3" ht="12.75">
      <c r="B12" s="151" t="s">
        <v>1284</v>
      </c>
      <c r="C12" s="7">
        <f>+'841901-Önk saját bevételei'!E12</f>
        <v>102000</v>
      </c>
    </row>
    <row r="13" spans="2:3" ht="12.75">
      <c r="B13" s="151" t="s">
        <v>1285</v>
      </c>
      <c r="C13" s="7">
        <f>+'841901-Önk saját bevételei'!E16</f>
        <v>12800</v>
      </c>
    </row>
    <row r="14" spans="2:3" ht="12.75">
      <c r="B14" s="151" t="s">
        <v>1286</v>
      </c>
      <c r="C14" s="7">
        <f>+'841901-Önk saját bevételei'!E18</f>
        <v>0</v>
      </c>
    </row>
    <row r="15" spans="2:3" ht="12.75">
      <c r="B15" s="151" t="s">
        <v>1287</v>
      </c>
      <c r="C15" s="7">
        <f>+'841901-Önk saját bevételei'!E22</f>
        <v>700</v>
      </c>
    </row>
    <row r="16" spans="2:3" ht="12.75">
      <c r="B16" s="151" t="s">
        <v>1288</v>
      </c>
      <c r="C16" s="7" t="e">
        <f>1am!#REF!</f>
        <v>#REF!</v>
      </c>
    </row>
    <row r="17" spans="2:3" ht="12.75">
      <c r="B17" s="151" t="s">
        <v>1289</v>
      </c>
      <c r="C17" s="7">
        <f>4am!B16</f>
        <v>100</v>
      </c>
    </row>
    <row r="18" spans="2:3" ht="12.75">
      <c r="B18" s="151" t="s">
        <v>374</v>
      </c>
      <c r="C18" s="7">
        <f>4am!B18</f>
        <v>19050</v>
      </c>
    </row>
    <row r="19" spans="2:3" ht="12.75">
      <c r="B19" s="151" t="s">
        <v>706</v>
      </c>
      <c r="C19" s="7">
        <f>4am!B17</f>
        <v>2000</v>
      </c>
    </row>
    <row r="20" spans="2:3" s="10" customFormat="1" ht="12.75">
      <c r="B20" s="213" t="s">
        <v>707</v>
      </c>
      <c r="C20" s="35" t="e">
        <f>SUM(C12:C19)</f>
        <v>#REF!</v>
      </c>
    </row>
    <row r="21" spans="2:3" ht="12.75">
      <c r="B21" s="313" t="s">
        <v>677</v>
      </c>
      <c r="C21" s="7" t="e">
        <f>4bm!F56-4bm!#REF!</f>
        <v>#REF!</v>
      </c>
    </row>
    <row r="22" spans="2:3" ht="12.75">
      <c r="B22" s="313" t="s">
        <v>705</v>
      </c>
      <c r="C22" s="7">
        <f>+4bm!F57</f>
        <v>0</v>
      </c>
    </row>
    <row r="23" spans="2:3" ht="12.75">
      <c r="B23" s="151" t="s">
        <v>708</v>
      </c>
      <c r="C23" s="7">
        <f>+4bm!F38</f>
        <v>6425.714267716536</v>
      </c>
    </row>
    <row r="24" spans="2:3" ht="12.75">
      <c r="B24" s="313" t="s">
        <v>704</v>
      </c>
      <c r="C24" s="7">
        <f>+4bm!F40</f>
        <v>5500.1</v>
      </c>
    </row>
    <row r="25" spans="2:3" ht="12.75">
      <c r="B25" s="313" t="s">
        <v>511</v>
      </c>
      <c r="C25" s="7">
        <f>'Fejlesztési kiadások'!E60</f>
        <v>1582</v>
      </c>
    </row>
    <row r="26" spans="2:3" s="41" customFormat="1" ht="12.75">
      <c r="B26" s="259" t="s">
        <v>709</v>
      </c>
      <c r="C26" s="43" t="e">
        <f>SUM(C21:C25)</f>
        <v>#REF!</v>
      </c>
    </row>
    <row r="27" spans="2:3" s="10" customFormat="1" ht="12.75">
      <c r="B27" s="213" t="s">
        <v>534</v>
      </c>
      <c r="C27" s="35" t="e">
        <f>+(C20-C26)*0.5</f>
        <v>#REF!</v>
      </c>
    </row>
    <row r="28" spans="2:3" ht="12.75">
      <c r="B28" s="145" t="s">
        <v>710</v>
      </c>
      <c r="C28" s="7" t="e">
        <f>'841126-Finanszírozási műveletek'!#REF!</f>
        <v>#REF!</v>
      </c>
    </row>
    <row r="29" spans="2:3" s="10" customFormat="1" ht="12.75">
      <c r="B29" s="213" t="s">
        <v>1086</v>
      </c>
      <c r="C29" s="35" t="e">
        <f>SUM(C27:C28)</f>
        <v>#REF!</v>
      </c>
    </row>
    <row r="30" spans="2:7" ht="12.75">
      <c r="B30" s="6" t="s">
        <v>711</v>
      </c>
      <c r="C30" s="7">
        <f>4am!B46</f>
        <v>0</v>
      </c>
      <c r="D30" s="1246"/>
      <c r="E30" s="1247"/>
      <c r="F30" s="1247"/>
      <c r="G30" s="1247"/>
    </row>
    <row r="31" spans="2:7" ht="12.75">
      <c r="B31" s="6" t="s">
        <v>712</v>
      </c>
      <c r="C31" s="7" t="e">
        <f>C29-C30</f>
        <v>#REF!</v>
      </c>
      <c r="D31" s="407"/>
      <c r="E31" s="407"/>
      <c r="F31" s="408"/>
      <c r="G31" s="407"/>
    </row>
  </sheetData>
  <sheetProtection/>
  <mergeCells count="4">
    <mergeCell ref="C2:D2"/>
    <mergeCell ref="A4:D4"/>
    <mergeCell ref="A6:D6"/>
    <mergeCell ref="D30:G3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M180"/>
  <sheetViews>
    <sheetView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16.8515625" style="378" bestFit="1" customWidth="1"/>
    <col min="2" max="2" width="16.8515625" style="377" customWidth="1"/>
    <col min="3" max="3" width="61.57421875" style="378" customWidth="1"/>
    <col min="4" max="4" width="13.00390625" style="387" customWidth="1"/>
    <col min="5" max="5" width="14.00390625" style="378" customWidth="1"/>
    <col min="6" max="6" width="16.140625" style="378" customWidth="1"/>
    <col min="7" max="7" width="15.00390625" style="378" bestFit="1" customWidth="1"/>
    <col min="8" max="8" width="10.57421875" style="378" bestFit="1" customWidth="1"/>
    <col min="9" max="9" width="12.28125" style="378" customWidth="1"/>
    <col min="10" max="13" width="9.28125" style="378" bestFit="1" customWidth="1"/>
    <col min="14" max="16384" width="9.140625" style="378" customWidth="1"/>
  </cols>
  <sheetData>
    <row r="1" ht="15.75">
      <c r="C1" s="393" t="s">
        <v>174</v>
      </c>
    </row>
    <row r="2" ht="15.75">
      <c r="C2" s="393" t="s">
        <v>981</v>
      </c>
    </row>
    <row r="4" spans="1:8" ht="15">
      <c r="A4" s="1252" t="s">
        <v>163</v>
      </c>
      <c r="B4" s="1252"/>
      <c r="C4" s="1252"/>
      <c r="D4" s="1252"/>
      <c r="E4" s="1252"/>
      <c r="F4" s="394"/>
      <c r="G4" s="394"/>
      <c r="H4" s="394"/>
    </row>
    <row r="5" spans="1:13" ht="15">
      <c r="A5" s="1056">
        <v>52</v>
      </c>
      <c r="B5" s="388"/>
      <c r="C5" s="378" t="s">
        <v>1322</v>
      </c>
      <c r="E5" s="387" t="s">
        <v>29</v>
      </c>
      <c r="J5" s="387"/>
      <c r="K5" s="387"/>
      <c r="L5" s="387"/>
      <c r="M5" s="387"/>
    </row>
    <row r="6" spans="1:5" ht="15">
      <c r="A6" s="389"/>
      <c r="B6" s="388"/>
      <c r="C6" s="378" t="s">
        <v>861</v>
      </c>
      <c r="D6" s="387">
        <v>600000</v>
      </c>
      <c r="E6" s="387">
        <v>600</v>
      </c>
    </row>
    <row r="7" spans="1:5" ht="15">
      <c r="A7" s="389"/>
      <c r="B7" s="388"/>
      <c r="C7" s="378" t="s">
        <v>478</v>
      </c>
      <c r="D7" s="387">
        <v>600000</v>
      </c>
      <c r="E7" s="387">
        <v>600</v>
      </c>
    </row>
    <row r="8" spans="1:5" ht="15.75">
      <c r="A8" s="389"/>
      <c r="B8" s="388"/>
      <c r="C8" s="379" t="s">
        <v>1323</v>
      </c>
      <c r="E8" s="383">
        <v>1200</v>
      </c>
    </row>
    <row r="9" spans="1:5" ht="15.75">
      <c r="A9" s="389"/>
      <c r="B9" s="388"/>
      <c r="C9" s="379" t="s">
        <v>1164</v>
      </c>
      <c r="E9" s="383">
        <f>E8*0.27</f>
        <v>324</v>
      </c>
    </row>
    <row r="10" spans="1:7" ht="15.75">
      <c r="A10" s="437"/>
      <c r="B10" s="438"/>
      <c r="C10" s="997" t="s">
        <v>1165</v>
      </c>
      <c r="D10" s="436"/>
      <c r="E10" s="436"/>
      <c r="G10" s="387"/>
    </row>
    <row r="11" spans="1:7" ht="15">
      <c r="A11" s="331"/>
      <c r="B11" s="402"/>
      <c r="C11" s="331"/>
      <c r="D11" s="639"/>
      <c r="E11" s="639"/>
      <c r="G11" s="387"/>
    </row>
    <row r="12" spans="1:7" ht="15">
      <c r="A12" s="53">
        <v>5421</v>
      </c>
      <c r="B12" s="48"/>
      <c r="C12" s="634" t="s">
        <v>200</v>
      </c>
      <c r="D12" s="639">
        <v>100000</v>
      </c>
      <c r="E12" s="184">
        <f>ROUND(D12,-3)/1000</f>
        <v>100</v>
      </c>
      <c r="G12" s="387"/>
    </row>
    <row r="13" spans="1:7" ht="15">
      <c r="A13" s="53"/>
      <c r="B13" s="48"/>
      <c r="C13" s="622" t="s">
        <v>1325</v>
      </c>
      <c r="D13" s="639">
        <v>0</v>
      </c>
      <c r="E13" s="639">
        <f>ROUND(D13,-3)/1000</f>
        <v>0</v>
      </c>
      <c r="G13" s="387"/>
    </row>
    <row r="14" spans="1:7" ht="15">
      <c r="A14" s="53">
        <v>5431</v>
      </c>
      <c r="B14" s="48"/>
      <c r="C14" s="634" t="s">
        <v>993</v>
      </c>
      <c r="D14" s="184">
        <f>SUM(D15)</f>
        <v>0</v>
      </c>
      <c r="E14" s="184">
        <f>SUM(E15)</f>
        <v>0</v>
      </c>
      <c r="G14" s="387"/>
    </row>
    <row r="15" spans="1:7" ht="15">
      <c r="A15" s="53"/>
      <c r="B15" s="48"/>
      <c r="C15" s="622"/>
      <c r="D15" s="626"/>
      <c r="E15" s="639">
        <f aca="true" t="shared" si="0" ref="E15:E21">ROUND(D15,-3)/1000</f>
        <v>0</v>
      </c>
      <c r="G15" s="387"/>
    </row>
    <row r="16" spans="1:7" ht="15">
      <c r="A16" s="53">
        <v>5441</v>
      </c>
      <c r="B16" s="48"/>
      <c r="C16" s="53" t="s">
        <v>201</v>
      </c>
      <c r="D16" s="184">
        <f>SUM(D17:D20)</f>
        <v>213985</v>
      </c>
      <c r="E16" s="184">
        <f t="shared" si="0"/>
        <v>214</v>
      </c>
      <c r="G16" s="387"/>
    </row>
    <row r="17" spans="1:7" ht="15">
      <c r="A17" s="53"/>
      <c r="B17" s="48"/>
      <c r="C17" s="622" t="s">
        <v>835</v>
      </c>
      <c r="D17" s="639">
        <v>40000</v>
      </c>
      <c r="E17" s="639">
        <f t="shared" si="0"/>
        <v>40</v>
      </c>
      <c r="G17" s="387"/>
    </row>
    <row r="18" spans="1:7" ht="15">
      <c r="A18" s="53"/>
      <c r="B18" s="48"/>
      <c r="C18" s="331" t="s">
        <v>834</v>
      </c>
      <c r="D18" s="639">
        <v>30000</v>
      </c>
      <c r="E18" s="639">
        <f t="shared" si="0"/>
        <v>30</v>
      </c>
      <c r="G18" s="387"/>
    </row>
    <row r="19" spans="1:7" ht="15">
      <c r="A19" s="53"/>
      <c r="B19" s="48"/>
      <c r="C19" s="937" t="s">
        <v>1326</v>
      </c>
      <c r="D19" s="809">
        <v>143985</v>
      </c>
      <c r="E19" s="809">
        <f t="shared" si="0"/>
        <v>144</v>
      </c>
      <c r="G19" s="387"/>
    </row>
    <row r="20" spans="1:7" ht="15">
      <c r="A20" s="331"/>
      <c r="B20" s="402"/>
      <c r="C20" s="331" t="s">
        <v>80</v>
      </c>
      <c r="D20" s="639"/>
      <c r="E20" s="639">
        <f t="shared" si="0"/>
        <v>0</v>
      </c>
      <c r="G20" s="387"/>
    </row>
    <row r="21" spans="1:7" ht="15">
      <c r="A21" s="53">
        <v>5461</v>
      </c>
      <c r="B21" s="48"/>
      <c r="C21" s="1057" t="s">
        <v>202</v>
      </c>
      <c r="D21" s="810">
        <f>SUM(D22)</f>
        <v>1300000</v>
      </c>
      <c r="E21" s="810">
        <f t="shared" si="0"/>
        <v>1300</v>
      </c>
      <c r="G21" s="387"/>
    </row>
    <row r="22" spans="1:7" ht="15">
      <c r="A22" s="331"/>
      <c r="B22" s="402"/>
      <c r="C22" s="331"/>
      <c r="D22" s="639">
        <v>1300000</v>
      </c>
      <c r="E22" s="639"/>
      <c r="G22" s="387"/>
    </row>
    <row r="23" spans="1:7" ht="15">
      <c r="A23" s="53">
        <v>5471</v>
      </c>
      <c r="B23" s="48"/>
      <c r="C23" s="53" t="s">
        <v>995</v>
      </c>
      <c r="D23" s="184">
        <v>0</v>
      </c>
      <c r="E23" s="184">
        <f aca="true" t="shared" si="1" ref="E23:E43">ROUND(D23,-3)/1000</f>
        <v>0</v>
      </c>
      <c r="G23" s="387"/>
    </row>
    <row r="24" spans="1:7" ht="15">
      <c r="A24" s="53"/>
      <c r="B24" s="48"/>
      <c r="C24" s="53"/>
      <c r="D24" s="639"/>
      <c r="E24" s="639">
        <f t="shared" si="1"/>
        <v>0</v>
      </c>
      <c r="G24" s="387"/>
    </row>
    <row r="25" spans="1:7" ht="15">
      <c r="A25" s="53">
        <v>5491</v>
      </c>
      <c r="B25" s="48"/>
      <c r="C25" s="634" t="s">
        <v>996</v>
      </c>
      <c r="D25" s="184">
        <f>SUM(D26:D28)</f>
        <v>550000</v>
      </c>
      <c r="E25" s="184">
        <f t="shared" si="1"/>
        <v>550</v>
      </c>
      <c r="G25" s="387"/>
    </row>
    <row r="26" spans="1:7" ht="15">
      <c r="A26" s="53"/>
      <c r="B26" s="48"/>
      <c r="C26" s="936" t="s">
        <v>87</v>
      </c>
      <c r="D26" s="809">
        <v>400000</v>
      </c>
      <c r="E26" s="809">
        <f t="shared" si="1"/>
        <v>400</v>
      </c>
      <c r="G26" s="387"/>
    </row>
    <row r="27" spans="1:7" ht="15">
      <c r="A27" s="53"/>
      <c r="B27" s="48"/>
      <c r="C27" s="936" t="s">
        <v>105</v>
      </c>
      <c r="D27" s="809">
        <v>100000</v>
      </c>
      <c r="E27" s="809">
        <f t="shared" si="1"/>
        <v>100</v>
      </c>
      <c r="G27" s="387"/>
    </row>
    <row r="28" spans="1:7" ht="15">
      <c r="A28" s="53"/>
      <c r="B28" s="48"/>
      <c r="C28" s="936" t="s">
        <v>88</v>
      </c>
      <c r="D28" s="809">
        <v>50000</v>
      </c>
      <c r="E28" s="809">
        <f t="shared" si="1"/>
        <v>50</v>
      </c>
      <c r="G28" s="387"/>
    </row>
    <row r="29" spans="1:7" ht="15">
      <c r="A29" s="53">
        <v>55111</v>
      </c>
      <c r="B29" s="48"/>
      <c r="C29" s="634" t="s">
        <v>998</v>
      </c>
      <c r="D29" s="184">
        <f>SUM(D30:D32)</f>
        <v>3000000</v>
      </c>
      <c r="E29" s="184">
        <f t="shared" si="1"/>
        <v>3000</v>
      </c>
      <c r="G29" s="387"/>
    </row>
    <row r="30" spans="1:7" ht="15">
      <c r="A30" s="53"/>
      <c r="B30" s="48"/>
      <c r="C30" s="936" t="s">
        <v>836</v>
      </c>
      <c r="D30" s="639">
        <v>1560000</v>
      </c>
      <c r="E30" s="639">
        <f t="shared" si="1"/>
        <v>1560</v>
      </c>
      <c r="G30" s="387"/>
    </row>
    <row r="31" spans="1:7" ht="15">
      <c r="A31" s="53"/>
      <c r="B31" s="48"/>
      <c r="C31" s="936" t="s">
        <v>852</v>
      </c>
      <c r="D31" s="639">
        <v>240000</v>
      </c>
      <c r="E31" s="639">
        <f t="shared" si="1"/>
        <v>240</v>
      </c>
      <c r="G31" s="387"/>
    </row>
    <row r="32" spans="1:7" ht="15">
      <c r="A32" s="331"/>
      <c r="B32" s="402"/>
      <c r="C32" s="936" t="s">
        <v>853</v>
      </c>
      <c r="D32" s="639">
        <v>1200000</v>
      </c>
      <c r="E32" s="639">
        <f t="shared" si="1"/>
        <v>1200</v>
      </c>
      <c r="G32" s="387"/>
    </row>
    <row r="33" spans="1:7" ht="15">
      <c r="A33" s="53">
        <v>55119</v>
      </c>
      <c r="B33" s="48"/>
      <c r="C33" s="634" t="s">
        <v>999</v>
      </c>
      <c r="D33" s="184">
        <f>SUM(D34)</f>
        <v>0</v>
      </c>
      <c r="E33" s="184">
        <v>0</v>
      </c>
      <c r="G33" s="387"/>
    </row>
    <row r="34" spans="1:7" ht="15">
      <c r="A34" s="331"/>
      <c r="B34" s="402"/>
      <c r="C34" s="622"/>
      <c r="D34" s="639"/>
      <c r="E34" s="639"/>
      <c r="G34" s="387"/>
    </row>
    <row r="35" spans="1:9" ht="15">
      <c r="A35" s="53">
        <v>552121</v>
      </c>
      <c r="B35" s="48"/>
      <c r="C35" s="634" t="s">
        <v>1472</v>
      </c>
      <c r="D35" s="184">
        <f>SUM(D36:D37)</f>
        <v>0</v>
      </c>
      <c r="E35" s="184">
        <f t="shared" si="1"/>
        <v>0</v>
      </c>
      <c r="G35" s="1253"/>
      <c r="H35" s="1254"/>
      <c r="I35" s="1254"/>
    </row>
    <row r="36" spans="1:9" ht="15">
      <c r="A36" s="53"/>
      <c r="B36" s="48"/>
      <c r="C36" s="622" t="s">
        <v>83</v>
      </c>
      <c r="D36" s="639"/>
      <c r="E36" s="639"/>
      <c r="G36" s="421"/>
      <c r="H36" s="422"/>
      <c r="I36" s="422"/>
    </row>
    <row r="37" spans="1:7" ht="15">
      <c r="A37" s="331"/>
      <c r="B37" s="402"/>
      <c r="C37" s="622" t="s">
        <v>82</v>
      </c>
      <c r="D37" s="639"/>
      <c r="E37" s="639"/>
      <c r="G37" s="387"/>
    </row>
    <row r="38" spans="1:7" ht="15">
      <c r="A38" s="53">
        <v>55214</v>
      </c>
      <c r="B38" s="48"/>
      <c r="C38" s="634" t="s">
        <v>1000</v>
      </c>
      <c r="D38" s="184">
        <f>SUM(D39)</f>
        <v>0</v>
      </c>
      <c r="E38" s="184">
        <f t="shared" si="1"/>
        <v>0</v>
      </c>
      <c r="G38" s="387"/>
    </row>
    <row r="39" spans="1:7" ht="15">
      <c r="A39" s="331"/>
      <c r="B39" s="402"/>
      <c r="C39" s="622"/>
      <c r="D39" s="639"/>
      <c r="E39" s="639">
        <f t="shared" si="1"/>
        <v>0</v>
      </c>
      <c r="G39" s="387"/>
    </row>
    <row r="40" spans="1:7" ht="15">
      <c r="A40" s="53">
        <v>55215</v>
      </c>
      <c r="B40" s="48"/>
      <c r="C40" s="634" t="s">
        <v>1001</v>
      </c>
      <c r="D40" s="184">
        <f>SUM(D41)</f>
        <v>0</v>
      </c>
      <c r="E40" s="184">
        <f t="shared" si="1"/>
        <v>0</v>
      </c>
      <c r="G40" s="387"/>
    </row>
    <row r="41" spans="1:7" ht="15">
      <c r="A41" s="331"/>
      <c r="B41" s="402"/>
      <c r="C41" s="622"/>
      <c r="D41" s="639"/>
      <c r="E41" s="639">
        <f t="shared" si="1"/>
        <v>0</v>
      </c>
      <c r="G41" s="387"/>
    </row>
    <row r="42" spans="1:7" ht="15">
      <c r="A42" s="53">
        <v>55217</v>
      </c>
      <c r="B42" s="48"/>
      <c r="C42" s="634" t="s">
        <v>1002</v>
      </c>
      <c r="D42" s="184">
        <f>SUM(D43)</f>
        <v>0</v>
      </c>
      <c r="E42" s="184">
        <f t="shared" si="1"/>
        <v>0</v>
      </c>
      <c r="G42" s="387"/>
    </row>
    <row r="43" spans="1:7" ht="15">
      <c r="A43" s="331"/>
      <c r="B43" s="402"/>
      <c r="C43" s="622"/>
      <c r="D43" s="639"/>
      <c r="E43" s="639">
        <f t="shared" si="1"/>
        <v>0</v>
      </c>
      <c r="G43" s="387"/>
    </row>
    <row r="44" spans="1:7" ht="15">
      <c r="A44" s="53">
        <v>55218</v>
      </c>
      <c r="B44" s="48"/>
      <c r="C44" s="634" t="s">
        <v>1003</v>
      </c>
      <c r="D44" s="184">
        <f>SUM(D45:D49)</f>
        <v>1247000</v>
      </c>
      <c r="E44" s="179">
        <f aca="true" t="shared" si="2" ref="E44:E50">ROUND(D44,-3)/1000</f>
        <v>1247</v>
      </c>
      <c r="G44" s="387"/>
    </row>
    <row r="45" spans="1:7" ht="15">
      <c r="A45" s="53"/>
      <c r="B45" s="48"/>
      <c r="C45" s="1066" t="s">
        <v>103</v>
      </c>
      <c r="D45" s="639">
        <v>300000</v>
      </c>
      <c r="E45" s="626">
        <f t="shared" si="2"/>
        <v>300</v>
      </c>
      <c r="G45" s="387"/>
    </row>
    <row r="46" spans="1:7" ht="15">
      <c r="A46" s="53"/>
      <c r="B46" s="48"/>
      <c r="C46" s="622"/>
      <c r="D46" s="639"/>
      <c r="E46" s="626"/>
      <c r="G46" s="387"/>
    </row>
    <row r="47" spans="1:7" ht="15">
      <c r="A47" s="53"/>
      <c r="B47" s="48"/>
      <c r="C47" s="936" t="s">
        <v>150</v>
      </c>
      <c r="D47" s="809">
        <v>32000</v>
      </c>
      <c r="E47" s="626">
        <f t="shared" si="2"/>
        <v>32</v>
      </c>
      <c r="G47" s="387"/>
    </row>
    <row r="48" spans="1:7" ht="15">
      <c r="A48" s="53"/>
      <c r="B48" s="48"/>
      <c r="C48" s="936" t="s">
        <v>857</v>
      </c>
      <c r="D48" s="809">
        <v>600000</v>
      </c>
      <c r="E48" s="809">
        <f t="shared" si="2"/>
        <v>600</v>
      </c>
      <c r="G48" s="387"/>
    </row>
    <row r="49" spans="1:7" ht="15">
      <c r="A49" s="53"/>
      <c r="B49" s="48"/>
      <c r="C49" s="936" t="s">
        <v>1324</v>
      </c>
      <c r="D49" s="809">
        <v>315000</v>
      </c>
      <c r="E49" s="809">
        <f t="shared" si="2"/>
        <v>315</v>
      </c>
      <c r="G49" s="387"/>
    </row>
    <row r="50" spans="1:7" ht="15">
      <c r="A50" s="53">
        <v>55219</v>
      </c>
      <c r="B50" s="48"/>
      <c r="C50" s="634" t="s">
        <v>1031</v>
      </c>
      <c r="D50" s="184">
        <f>SUM(D51:D56)</f>
        <v>477250</v>
      </c>
      <c r="E50" s="184">
        <f t="shared" si="2"/>
        <v>477</v>
      </c>
      <c r="G50" s="387"/>
    </row>
    <row r="51" spans="1:7" ht="15">
      <c r="A51" s="331"/>
      <c r="B51" s="402"/>
      <c r="C51" s="622" t="s">
        <v>919</v>
      </c>
      <c r="D51" s="639"/>
      <c r="E51" s="639">
        <f aca="true" t="shared" si="3" ref="E51:E65">ROUND(D51,-3)/1000</f>
        <v>0</v>
      </c>
      <c r="G51" s="387"/>
    </row>
    <row r="52" spans="1:7" ht="15">
      <c r="A52" s="331"/>
      <c r="B52" s="402"/>
      <c r="C52" s="622" t="s">
        <v>918</v>
      </c>
      <c r="D52" s="639"/>
      <c r="E52" s="639">
        <f t="shared" si="3"/>
        <v>0</v>
      </c>
      <c r="G52" s="387"/>
    </row>
    <row r="53" spans="1:7" ht="15">
      <c r="A53" s="331"/>
      <c r="B53" s="402"/>
      <c r="C53" s="622" t="s">
        <v>1368</v>
      </c>
      <c r="D53" s="639">
        <v>47250</v>
      </c>
      <c r="E53" s="639">
        <f t="shared" si="3"/>
        <v>47</v>
      </c>
      <c r="G53" s="387"/>
    </row>
    <row r="54" spans="1:7" ht="15">
      <c r="A54" s="331"/>
      <c r="B54" s="402"/>
      <c r="C54" s="622" t="s">
        <v>85</v>
      </c>
      <c r="D54" s="639">
        <v>30000</v>
      </c>
      <c r="E54" s="639">
        <f t="shared" si="3"/>
        <v>30</v>
      </c>
      <c r="G54" s="387"/>
    </row>
    <row r="55" spans="1:7" ht="15">
      <c r="A55" s="331"/>
      <c r="B55" s="402"/>
      <c r="C55" s="936" t="s">
        <v>856</v>
      </c>
      <c r="D55" s="809">
        <v>100000</v>
      </c>
      <c r="E55" s="809">
        <f t="shared" si="3"/>
        <v>100</v>
      </c>
      <c r="G55" s="387"/>
    </row>
    <row r="56" spans="1:7" ht="15">
      <c r="A56" s="331"/>
      <c r="B56" s="402"/>
      <c r="C56" s="936" t="s">
        <v>855</v>
      </c>
      <c r="D56" s="809">
        <v>300000</v>
      </c>
      <c r="E56" s="809">
        <f t="shared" si="3"/>
        <v>300</v>
      </c>
      <c r="G56" s="387"/>
    </row>
    <row r="57" spans="1:7" ht="15">
      <c r="A57" s="331"/>
      <c r="B57" s="402"/>
      <c r="C57" s="936" t="s">
        <v>858</v>
      </c>
      <c r="D57" s="809">
        <v>110000</v>
      </c>
      <c r="E57" s="809">
        <f t="shared" si="3"/>
        <v>110</v>
      </c>
      <c r="G57" s="387"/>
    </row>
    <row r="58" spans="1:7" ht="15">
      <c r="A58" s="53">
        <v>5561</v>
      </c>
      <c r="B58" s="48"/>
      <c r="C58" s="634" t="s">
        <v>86</v>
      </c>
      <c r="D58" s="184">
        <f>SUM(D59)</f>
        <v>200000</v>
      </c>
      <c r="E58" s="184">
        <f t="shared" si="3"/>
        <v>200</v>
      </c>
      <c r="G58" s="387"/>
    </row>
    <row r="59" spans="1:7" ht="15">
      <c r="A59" s="331"/>
      <c r="B59" s="402"/>
      <c r="C59" s="622"/>
      <c r="D59" s="639">
        <v>200000</v>
      </c>
      <c r="E59" s="639">
        <f t="shared" si="3"/>
        <v>200</v>
      </c>
      <c r="G59" s="387"/>
    </row>
    <row r="60" spans="1:7" ht="15">
      <c r="A60" s="385">
        <v>56111</v>
      </c>
      <c r="B60" s="48"/>
      <c r="C60" s="53" t="s">
        <v>1005</v>
      </c>
      <c r="D60" s="184"/>
      <c r="E60" s="184">
        <f t="shared" si="3"/>
        <v>0</v>
      </c>
      <c r="G60" s="387"/>
    </row>
    <row r="61" spans="1:7" ht="15">
      <c r="A61" s="53">
        <v>56319</v>
      </c>
      <c r="B61" s="48"/>
      <c r="C61" s="634" t="s">
        <v>203</v>
      </c>
      <c r="D61" s="639">
        <v>100000</v>
      </c>
      <c r="E61" s="639">
        <f t="shared" si="3"/>
        <v>100</v>
      </c>
      <c r="G61" s="387"/>
    </row>
    <row r="62" spans="1:7" ht="15">
      <c r="A62" s="53"/>
      <c r="B62" s="48"/>
      <c r="C62" s="622"/>
      <c r="D62" s="639"/>
      <c r="E62" s="639"/>
      <c r="G62" s="387"/>
    </row>
    <row r="63" spans="1:7" ht="15">
      <c r="A63" s="53"/>
      <c r="B63" s="48"/>
      <c r="C63" s="622"/>
      <c r="D63" s="639"/>
      <c r="E63" s="639">
        <f t="shared" si="3"/>
        <v>0</v>
      </c>
      <c r="G63" s="387"/>
    </row>
    <row r="64" spans="1:7" ht="15">
      <c r="A64" s="53">
        <v>5642</v>
      </c>
      <c r="B64" s="48"/>
      <c r="C64" s="1057" t="s">
        <v>440</v>
      </c>
      <c r="D64" s="809">
        <v>1000000</v>
      </c>
      <c r="E64" s="810">
        <f t="shared" si="3"/>
        <v>1000</v>
      </c>
      <c r="G64" s="387"/>
    </row>
    <row r="65" spans="1:7" ht="15">
      <c r="A65" s="53"/>
      <c r="B65" s="48"/>
      <c r="C65" s="622" t="s">
        <v>859</v>
      </c>
      <c r="D65" s="639"/>
      <c r="E65" s="639">
        <f t="shared" si="3"/>
        <v>0</v>
      </c>
      <c r="G65" s="387"/>
    </row>
    <row r="66" spans="1:7" ht="15">
      <c r="A66" s="53">
        <v>57219</v>
      </c>
      <c r="B66" s="48"/>
      <c r="C66" s="53" t="s">
        <v>89</v>
      </c>
      <c r="D66" s="184">
        <f>SUM(D67:D71)</f>
        <v>2467119</v>
      </c>
      <c r="E66" s="179">
        <f aca="true" t="shared" si="4" ref="E66:E71">ROUND(D66,-3)/1000</f>
        <v>2467</v>
      </c>
      <c r="G66" s="387"/>
    </row>
    <row r="67" spans="1:7" ht="15">
      <c r="A67" s="53"/>
      <c r="B67" s="48"/>
      <c r="C67" s="937" t="s">
        <v>1379</v>
      </c>
      <c r="D67" s="809">
        <f>585000*4</f>
        <v>2340000</v>
      </c>
      <c r="E67" s="809">
        <f t="shared" si="4"/>
        <v>2340</v>
      </c>
      <c r="G67" s="387"/>
    </row>
    <row r="68" spans="1:7" ht="15">
      <c r="A68" s="53"/>
      <c r="B68" s="48"/>
      <c r="C68" s="937" t="s">
        <v>1380</v>
      </c>
      <c r="D68" s="639">
        <v>36872</v>
      </c>
      <c r="E68" s="626">
        <f t="shared" si="4"/>
        <v>37</v>
      </c>
      <c r="G68" s="387"/>
    </row>
    <row r="69" spans="1:7" ht="15">
      <c r="A69" s="53"/>
      <c r="B69" s="48"/>
      <c r="C69" s="937" t="s">
        <v>1381</v>
      </c>
      <c r="D69" s="639">
        <v>2335</v>
      </c>
      <c r="E69" s="626">
        <f t="shared" si="4"/>
        <v>2</v>
      </c>
      <c r="G69" s="387"/>
    </row>
    <row r="70" spans="1:7" ht="15">
      <c r="A70" s="53"/>
      <c r="B70" s="48"/>
      <c r="C70" s="937" t="s">
        <v>1383</v>
      </c>
      <c r="D70" s="639">
        <f>7836*4</f>
        <v>31344</v>
      </c>
      <c r="E70" s="626">
        <f t="shared" si="4"/>
        <v>31</v>
      </c>
      <c r="G70" s="387"/>
    </row>
    <row r="71" spans="1:7" ht="15">
      <c r="A71" s="53"/>
      <c r="B71" s="48"/>
      <c r="C71" s="937" t="s">
        <v>1384</v>
      </c>
      <c r="D71" s="639">
        <f>14142*4</f>
        <v>56568</v>
      </c>
      <c r="E71" s="626">
        <f t="shared" si="4"/>
        <v>57</v>
      </c>
      <c r="G71" s="387"/>
    </row>
    <row r="72" spans="1:7" ht="15.75">
      <c r="A72" s="53"/>
      <c r="B72" s="48"/>
      <c r="C72" s="53"/>
      <c r="D72" s="639"/>
      <c r="E72" s="184"/>
      <c r="G72" s="383"/>
    </row>
    <row r="73" spans="1:7" ht="15.75">
      <c r="A73" s="1251" t="s">
        <v>162</v>
      </c>
      <c r="B73" s="1251"/>
      <c r="C73" s="1251"/>
      <c r="D73" s="1251"/>
      <c r="E73" s="426">
        <f>E12+E14+E16+E21+E23+E25+E29+E33+E35+E38+E40+E42+E44+E50+E58+E60+E61+E64+E66</f>
        <v>10655</v>
      </c>
      <c r="F73" s="387">
        <f>51079-E73</f>
        <v>40424</v>
      </c>
      <c r="G73" s="383"/>
    </row>
    <row r="74" spans="1:7" ht="15.75">
      <c r="A74" s="338"/>
      <c r="B74" s="131"/>
      <c r="C74" s="622" t="s">
        <v>336</v>
      </c>
      <c r="D74" s="639">
        <f>13247820*0.6</f>
        <v>7948692</v>
      </c>
      <c r="E74" s="184">
        <f>ROUND(D74,-3)/1000</f>
        <v>7949</v>
      </c>
      <c r="G74" s="383"/>
    </row>
    <row r="75" spans="1:7" s="398" customFormat="1" ht="15">
      <c r="A75" s="1250" t="s">
        <v>441</v>
      </c>
      <c r="B75" s="1250"/>
      <c r="C75" s="1250"/>
      <c r="D75" s="1250"/>
      <c r="E75" s="1250"/>
      <c r="G75" s="391"/>
    </row>
    <row r="76" spans="1:7" s="398" customFormat="1" ht="15">
      <c r="A76" s="114"/>
      <c r="B76" s="114"/>
      <c r="C76" s="114"/>
      <c r="D76" s="574"/>
      <c r="E76" s="114"/>
      <c r="G76" s="391"/>
    </row>
    <row r="77" spans="1:7" s="398" customFormat="1" ht="15">
      <c r="A77" s="386">
        <v>373151</v>
      </c>
      <c r="B77" s="402"/>
      <c r="C77" s="629" t="s">
        <v>1025</v>
      </c>
      <c r="D77" s="635"/>
      <c r="E77" s="631">
        <v>1300</v>
      </c>
      <c r="G77" s="391"/>
    </row>
    <row r="78" spans="1:7" s="398" customFormat="1" ht="15">
      <c r="A78" s="386">
        <v>373152</v>
      </c>
      <c r="B78" s="402"/>
      <c r="C78" s="331" t="s">
        <v>475</v>
      </c>
      <c r="D78" s="624"/>
      <c r="E78" s="639">
        <v>0</v>
      </c>
      <c r="G78" s="391"/>
    </row>
    <row r="79" spans="1:7" s="398" customFormat="1" ht="15">
      <c r="A79" s="386">
        <v>373153</v>
      </c>
      <c r="B79" s="402"/>
      <c r="C79" s="629" t="s">
        <v>727</v>
      </c>
      <c r="D79" s="635"/>
      <c r="E79" s="631"/>
      <c r="G79" s="391"/>
    </row>
    <row r="80" spans="1:7" s="398" customFormat="1" ht="15">
      <c r="A80" s="636">
        <v>373154</v>
      </c>
      <c r="B80" s="640"/>
      <c r="C80" s="629" t="s">
        <v>157</v>
      </c>
      <c r="D80" s="635"/>
      <c r="E80" s="631"/>
      <c r="G80" s="391"/>
    </row>
    <row r="81" spans="1:7" s="398" customFormat="1" ht="15">
      <c r="A81" s="386">
        <v>373161</v>
      </c>
      <c r="B81" s="402"/>
      <c r="C81" s="622" t="s">
        <v>793</v>
      </c>
      <c r="D81" s="1004">
        <v>526923</v>
      </c>
      <c r="E81" s="1005">
        <f>+ROUND(D81,-3)/1000</f>
        <v>527</v>
      </c>
      <c r="G81" s="391"/>
    </row>
    <row r="82" spans="1:7" s="398" customFormat="1" ht="15">
      <c r="A82" s="625">
        <v>373162</v>
      </c>
      <c r="B82" s="334"/>
      <c r="C82" s="627" t="s">
        <v>794</v>
      </c>
      <c r="D82" s="1005">
        <v>10246743</v>
      </c>
      <c r="E82" s="809">
        <f>+ROUND(D82,-3)/1000</f>
        <v>10247</v>
      </c>
      <c r="G82" s="391"/>
    </row>
    <row r="83" spans="1:7" s="398" customFormat="1" ht="15">
      <c r="A83" s="386"/>
      <c r="B83" s="402"/>
      <c r="C83" s="331" t="s">
        <v>608</v>
      </c>
      <c r="D83" s="1005">
        <v>267650</v>
      </c>
      <c r="E83" s="809">
        <f>+ROUND(D83,-3)/1000</f>
        <v>268</v>
      </c>
      <c r="G83" s="391"/>
    </row>
    <row r="84" spans="1:7" s="398" customFormat="1" ht="15.75">
      <c r="A84" s="1251" t="s">
        <v>442</v>
      </c>
      <c r="B84" s="1251"/>
      <c r="C84" s="1251"/>
      <c r="D84" s="1251"/>
      <c r="E84" s="426">
        <f>SUM(E77:E83)</f>
        <v>12342</v>
      </c>
      <c r="F84" s="398">
        <f>39669-39296</f>
        <v>373</v>
      </c>
      <c r="G84" s="391"/>
    </row>
    <row r="85" spans="1:7" s="398" customFormat="1" ht="15">
      <c r="A85" s="310"/>
      <c r="B85" s="423"/>
      <c r="C85" s="310"/>
      <c r="D85" s="217"/>
      <c r="E85" s="310"/>
      <c r="G85" s="391"/>
    </row>
    <row r="86" spans="1:7" s="398" customFormat="1" ht="27" customHeight="1">
      <c r="A86" s="1250" t="s">
        <v>1231</v>
      </c>
      <c r="B86" s="1250"/>
      <c r="C86" s="1250"/>
      <c r="D86" s="1250"/>
      <c r="E86" s="1250"/>
      <c r="G86" s="391"/>
    </row>
    <row r="87" spans="1:7" s="820" customFormat="1" ht="15.75">
      <c r="A87" s="819">
        <v>38115</v>
      </c>
      <c r="B87" s="819"/>
      <c r="C87" s="819" t="s">
        <v>405</v>
      </c>
      <c r="D87" s="160">
        <f>SUM(D88:D92)</f>
        <v>6000000</v>
      </c>
      <c r="E87" s="179">
        <f>+ROUND(D87,-3)/1000</f>
        <v>6000</v>
      </c>
      <c r="G87" s="821"/>
    </row>
    <row r="88" spans="1:7" s="398" customFormat="1" ht="15" customHeight="1">
      <c r="A88" s="386">
        <v>3811523</v>
      </c>
      <c r="B88" s="402">
        <v>931202</v>
      </c>
      <c r="C88" s="629" t="s">
        <v>225</v>
      </c>
      <c r="D88" s="635"/>
      <c r="E88" s="626">
        <f>+ROUND(D88,-3)/1000</f>
        <v>0</v>
      </c>
      <c r="G88" s="391"/>
    </row>
    <row r="89" spans="1:7" s="398" customFormat="1" ht="15" customHeight="1">
      <c r="A89" s="386">
        <v>3811524</v>
      </c>
      <c r="B89" s="622">
        <v>931201</v>
      </c>
      <c r="C89" s="629" t="s">
        <v>226</v>
      </c>
      <c r="D89" s="635">
        <v>4000000</v>
      </c>
      <c r="E89" s="626">
        <f>+ROUND(D89,-3)/1000</f>
        <v>4000</v>
      </c>
      <c r="G89" s="391"/>
    </row>
    <row r="90" spans="1:7" s="398" customFormat="1" ht="15" customHeight="1">
      <c r="A90" s="386">
        <v>3811525</v>
      </c>
      <c r="B90" s="622">
        <v>931201</v>
      </c>
      <c r="C90" s="629" t="s">
        <v>1502</v>
      </c>
      <c r="D90" s="635">
        <v>1000000</v>
      </c>
      <c r="E90" s="626">
        <f aca="true" t="shared" si="5" ref="E90:E110">+ROUND(D90,-3)/1000</f>
        <v>1000</v>
      </c>
      <c r="G90" s="391"/>
    </row>
    <row r="91" spans="1:7" s="398" customFormat="1" ht="15" customHeight="1">
      <c r="A91" s="386" t="s">
        <v>477</v>
      </c>
      <c r="B91" s="622">
        <v>931201</v>
      </c>
      <c r="C91" s="629" t="s">
        <v>1241</v>
      </c>
      <c r="D91" s="635">
        <v>1000000</v>
      </c>
      <c r="E91" s="626">
        <f t="shared" si="5"/>
        <v>1000</v>
      </c>
      <c r="G91" s="391"/>
    </row>
    <row r="92" spans="1:7" s="398" customFormat="1" ht="15" customHeight="1">
      <c r="A92" s="386">
        <v>38115253</v>
      </c>
      <c r="B92" s="622">
        <v>931301</v>
      </c>
      <c r="C92" s="629" t="s">
        <v>191</v>
      </c>
      <c r="D92" s="635"/>
      <c r="E92" s="626">
        <f t="shared" si="5"/>
        <v>0</v>
      </c>
      <c r="G92" s="391"/>
    </row>
    <row r="93" spans="1:7" s="398" customFormat="1" ht="15" customHeight="1">
      <c r="A93" s="386">
        <v>3811526</v>
      </c>
      <c r="B93" s="402">
        <v>890506</v>
      </c>
      <c r="C93" s="629" t="s">
        <v>227</v>
      </c>
      <c r="D93" s="635">
        <v>100000</v>
      </c>
      <c r="E93" s="626">
        <f t="shared" si="5"/>
        <v>100</v>
      </c>
      <c r="G93" s="391"/>
    </row>
    <row r="94" spans="1:7" s="398" customFormat="1" ht="15" customHeight="1">
      <c r="A94" s="386">
        <v>3811527</v>
      </c>
      <c r="B94" s="402">
        <v>890506</v>
      </c>
      <c r="C94" s="629" t="s">
        <v>228</v>
      </c>
      <c r="D94" s="635">
        <v>100000</v>
      </c>
      <c r="E94" s="626">
        <f t="shared" si="5"/>
        <v>100</v>
      </c>
      <c r="G94" s="391"/>
    </row>
    <row r="95" spans="1:7" s="398" customFormat="1" ht="15" customHeight="1">
      <c r="A95" s="386">
        <v>3811528</v>
      </c>
      <c r="B95" s="402">
        <v>890506</v>
      </c>
      <c r="C95" s="629" t="s">
        <v>154</v>
      </c>
      <c r="D95" s="635">
        <v>100000</v>
      </c>
      <c r="E95" s="626">
        <f t="shared" si="5"/>
        <v>100</v>
      </c>
      <c r="G95" s="391"/>
    </row>
    <row r="96" spans="1:7" s="398" customFormat="1" ht="15" customHeight="1">
      <c r="A96" s="386">
        <v>3811529</v>
      </c>
      <c r="B96" s="402">
        <v>890506</v>
      </c>
      <c r="C96" s="629" t="s">
        <v>155</v>
      </c>
      <c r="D96" s="635">
        <v>100000</v>
      </c>
      <c r="E96" s="626">
        <f t="shared" si="5"/>
        <v>100</v>
      </c>
      <c r="G96" s="391"/>
    </row>
    <row r="97" spans="1:7" s="398" customFormat="1" ht="15" customHeight="1">
      <c r="A97" s="386">
        <v>3811520</v>
      </c>
      <c r="B97" s="402">
        <v>890506</v>
      </c>
      <c r="C97" s="629" t="s">
        <v>156</v>
      </c>
      <c r="D97" s="635">
        <v>100000</v>
      </c>
      <c r="E97" s="626">
        <f t="shared" si="5"/>
        <v>100</v>
      </c>
      <c r="G97" s="391"/>
    </row>
    <row r="98" spans="1:7" s="398" customFormat="1" ht="15" customHeight="1">
      <c r="A98" s="386">
        <v>3811522</v>
      </c>
      <c r="B98" s="386">
        <v>841126</v>
      </c>
      <c r="C98" s="629" t="s">
        <v>728</v>
      </c>
      <c r="D98" s="635">
        <v>0</v>
      </c>
      <c r="E98" s="626">
        <f t="shared" si="5"/>
        <v>0</v>
      </c>
      <c r="G98" s="391"/>
    </row>
    <row r="99" spans="1:7" s="398" customFormat="1" ht="15" customHeight="1">
      <c r="A99" s="636">
        <v>381152221</v>
      </c>
      <c r="B99" s="636">
        <v>841126</v>
      </c>
      <c r="C99" s="629" t="s">
        <v>224</v>
      </c>
      <c r="D99" s="635">
        <v>500000</v>
      </c>
      <c r="E99" s="626">
        <f t="shared" si="5"/>
        <v>500</v>
      </c>
      <c r="G99" s="391"/>
    </row>
    <row r="100" spans="1:7" s="398" customFormat="1" ht="15" customHeight="1">
      <c r="A100" s="636">
        <v>38115231</v>
      </c>
      <c r="B100" s="636">
        <v>841126</v>
      </c>
      <c r="C100" s="629" t="s">
        <v>779</v>
      </c>
      <c r="D100" s="635">
        <v>0</v>
      </c>
      <c r="E100" s="626">
        <v>0</v>
      </c>
      <c r="G100" s="391"/>
    </row>
    <row r="101" spans="1:7" s="398" customFormat="1" ht="15" customHeight="1">
      <c r="A101" s="636">
        <v>38115241</v>
      </c>
      <c r="B101" s="636">
        <v>841126</v>
      </c>
      <c r="C101" s="629" t="s">
        <v>976</v>
      </c>
      <c r="D101" s="635">
        <v>600000</v>
      </c>
      <c r="E101" s="626">
        <f t="shared" si="5"/>
        <v>600</v>
      </c>
      <c r="G101" s="391"/>
    </row>
    <row r="102" spans="1:7" s="398" customFormat="1" ht="15" customHeight="1">
      <c r="A102" s="636">
        <v>38115271</v>
      </c>
      <c r="B102" s="636">
        <v>841126</v>
      </c>
      <c r="C102" s="622" t="s">
        <v>780</v>
      </c>
      <c r="D102" s="624">
        <v>60000</v>
      </c>
      <c r="E102" s="626">
        <f t="shared" si="5"/>
        <v>60</v>
      </c>
      <c r="F102" s="391"/>
      <c r="G102" s="391"/>
    </row>
    <row r="103" spans="1:7" s="398" customFormat="1" ht="15" customHeight="1">
      <c r="A103" s="636" t="s">
        <v>477</v>
      </c>
      <c r="B103" s="636">
        <v>841126</v>
      </c>
      <c r="C103" s="637" t="s">
        <v>476</v>
      </c>
      <c r="D103" s="635">
        <v>0</v>
      </c>
      <c r="E103" s="626">
        <f t="shared" si="5"/>
        <v>0</v>
      </c>
      <c r="F103" s="391"/>
      <c r="G103" s="391"/>
    </row>
    <row r="104" spans="1:7" s="398" customFormat="1" ht="15" customHeight="1">
      <c r="A104" s="636" t="s">
        <v>1232</v>
      </c>
      <c r="B104" s="636">
        <v>841126</v>
      </c>
      <c r="C104" s="637" t="s">
        <v>48</v>
      </c>
      <c r="D104" s="635">
        <v>10000</v>
      </c>
      <c r="E104" s="626">
        <f t="shared" si="5"/>
        <v>10</v>
      </c>
      <c r="F104" s="391"/>
      <c r="G104" s="391"/>
    </row>
    <row r="105" spans="1:7" s="398" customFormat="1" ht="15" customHeight="1">
      <c r="A105" s="636" t="s">
        <v>1232</v>
      </c>
      <c r="B105" s="636">
        <v>841126</v>
      </c>
      <c r="C105" s="406" t="s">
        <v>1247</v>
      </c>
      <c r="D105" s="624"/>
      <c r="E105" s="626">
        <f t="shared" si="5"/>
        <v>0</v>
      </c>
      <c r="F105" s="391"/>
      <c r="G105" s="391"/>
    </row>
    <row r="106" spans="1:7" s="398" customFormat="1" ht="23.25" customHeight="1">
      <c r="A106" s="636" t="s">
        <v>1232</v>
      </c>
      <c r="B106" s="636">
        <v>841126</v>
      </c>
      <c r="C106" s="406" t="s">
        <v>472</v>
      </c>
      <c r="D106" s="624">
        <v>10000000</v>
      </c>
      <c r="E106" s="626">
        <f t="shared" si="5"/>
        <v>10000</v>
      </c>
      <c r="F106" s="391"/>
      <c r="G106" s="391"/>
    </row>
    <row r="107" spans="1:7" s="398" customFormat="1" ht="15">
      <c r="A107" s="636" t="s">
        <v>1232</v>
      </c>
      <c r="B107" s="636">
        <v>841126</v>
      </c>
      <c r="C107" s="637" t="s">
        <v>395</v>
      </c>
      <c r="D107" s="635">
        <v>0</v>
      </c>
      <c r="E107" s="626">
        <v>0</v>
      </c>
      <c r="F107" s="391"/>
      <c r="G107" s="391"/>
    </row>
    <row r="108" spans="1:7" s="398" customFormat="1" ht="15">
      <c r="A108" s="636" t="s">
        <v>1232</v>
      </c>
      <c r="B108" s="636">
        <v>841126</v>
      </c>
      <c r="C108" s="637" t="s">
        <v>1385</v>
      </c>
      <c r="D108" s="635">
        <f>4*735356</f>
        <v>2941424</v>
      </c>
      <c r="E108" s="626">
        <f t="shared" si="5"/>
        <v>2941</v>
      </c>
      <c r="F108" s="391"/>
      <c r="G108" s="391"/>
    </row>
    <row r="109" spans="1:7" s="398" customFormat="1" ht="15">
      <c r="A109" s="636"/>
      <c r="B109" s="636"/>
      <c r="C109" s="637" t="s">
        <v>606</v>
      </c>
      <c r="D109" s="635">
        <v>54000000</v>
      </c>
      <c r="E109" s="626">
        <f t="shared" si="5"/>
        <v>54000</v>
      </c>
      <c r="F109" s="391"/>
      <c r="G109" s="391"/>
    </row>
    <row r="110" spans="1:7" s="398" customFormat="1" ht="15">
      <c r="A110" s="636"/>
      <c r="B110" s="636"/>
      <c r="C110" s="637" t="s">
        <v>609</v>
      </c>
      <c r="D110" s="635">
        <f>1500000*10</f>
        <v>15000000</v>
      </c>
      <c r="E110" s="626">
        <f t="shared" si="5"/>
        <v>15000</v>
      </c>
      <c r="F110" s="391"/>
      <c r="G110" s="391"/>
    </row>
    <row r="111" spans="1:7" s="398" customFormat="1" ht="15">
      <c r="A111" s="638"/>
      <c r="B111" s="636"/>
      <c r="C111" s="629" t="s">
        <v>1483</v>
      </c>
      <c r="D111" s="631"/>
      <c r="E111" s="860">
        <f>SUM(E88:E110)</f>
        <v>89611</v>
      </c>
      <c r="G111" s="391"/>
    </row>
    <row r="112" spans="1:7" s="398" customFormat="1" ht="27" customHeight="1">
      <c r="A112" s="138"/>
      <c r="B112" s="131"/>
      <c r="C112" s="133"/>
      <c r="D112" s="134"/>
      <c r="E112" s="134"/>
      <c r="G112" s="391"/>
    </row>
    <row r="113" spans="1:7" s="398" customFormat="1" ht="27" customHeight="1">
      <c r="A113" s="138"/>
      <c r="B113" s="131"/>
      <c r="C113" s="629" t="s">
        <v>151</v>
      </c>
      <c r="D113" s="375"/>
      <c r="E113" s="381">
        <v>9491</v>
      </c>
      <c r="G113" s="391"/>
    </row>
    <row r="114" spans="1:7" s="398" customFormat="1" ht="27" customHeight="1">
      <c r="A114" s="1251" t="s">
        <v>1516</v>
      </c>
      <c r="B114" s="1251"/>
      <c r="C114" s="1251"/>
      <c r="D114" s="1251"/>
      <c r="E114" s="426">
        <f>E111+E113</f>
        <v>99102</v>
      </c>
      <c r="G114" s="391"/>
    </row>
    <row r="115" spans="1:7" s="398" customFormat="1" ht="15">
      <c r="A115" s="310"/>
      <c r="B115" s="423"/>
      <c r="C115" s="310"/>
      <c r="D115" s="217"/>
      <c r="E115" s="310"/>
      <c r="G115" s="391"/>
    </row>
    <row r="116" spans="1:7" s="398" customFormat="1" ht="15.75">
      <c r="A116" s="1248" t="s">
        <v>972</v>
      </c>
      <c r="B116" s="1248"/>
      <c r="C116" s="1248"/>
      <c r="D116" s="1248"/>
      <c r="E116" s="427"/>
      <c r="G116" s="391"/>
    </row>
    <row r="117" spans="1:7" s="398" customFormat="1" ht="15">
      <c r="A117" s="310"/>
      <c r="B117" s="423"/>
      <c r="C117" s="310"/>
      <c r="D117" s="217"/>
      <c r="E117" s="310"/>
      <c r="G117" s="391"/>
    </row>
    <row r="118" spans="1:7" s="398" customFormat="1" ht="15">
      <c r="A118" s="310"/>
      <c r="B118" s="423"/>
      <c r="C118" s="310"/>
      <c r="D118" s="217"/>
      <c r="E118" s="310"/>
      <c r="G118" s="391"/>
    </row>
    <row r="119" spans="1:7" s="398" customFormat="1" ht="15">
      <c r="A119" s="1249" t="s">
        <v>164</v>
      </c>
      <c r="B119" s="1249"/>
      <c r="C119" s="1249"/>
      <c r="D119" s="1249"/>
      <c r="E119" s="1249"/>
      <c r="G119" s="391"/>
    </row>
    <row r="120" spans="1:7" s="398" customFormat="1" ht="15">
      <c r="A120" s="310"/>
      <c r="B120" s="423"/>
      <c r="C120" s="310"/>
      <c r="D120" s="217"/>
      <c r="E120" s="310"/>
      <c r="G120" s="391"/>
    </row>
    <row r="121" spans="1:7" s="398" customFormat="1" ht="15">
      <c r="A121" s="1250" t="s">
        <v>1517</v>
      </c>
      <c r="B121" s="1250"/>
      <c r="C121" s="1250"/>
      <c r="D121" s="1250"/>
      <c r="E121" s="1250"/>
      <c r="G121" s="391"/>
    </row>
    <row r="122" spans="1:7" s="392" customFormat="1" ht="15">
      <c r="A122" s="115"/>
      <c r="B122" s="423"/>
      <c r="C122" s="115"/>
      <c r="D122" s="573"/>
      <c r="E122" s="115"/>
      <c r="G122" s="399"/>
    </row>
    <row r="123" spans="1:7" s="398" customFormat="1" ht="15">
      <c r="A123" s="310"/>
      <c r="B123" s="423"/>
      <c r="C123" s="310"/>
      <c r="D123" s="217"/>
      <c r="E123" s="310"/>
      <c r="G123" s="391"/>
    </row>
    <row r="124" spans="1:7" s="398" customFormat="1" ht="15">
      <c r="A124" s="1250" t="s">
        <v>1019</v>
      </c>
      <c r="B124" s="1250"/>
      <c r="C124" s="1250"/>
      <c r="D124" s="1250"/>
      <c r="E124" s="1250"/>
      <c r="G124" s="391"/>
    </row>
    <row r="125" spans="1:7" s="398" customFormat="1" ht="15">
      <c r="A125" s="310"/>
      <c r="B125" s="423"/>
      <c r="C125" s="310"/>
      <c r="D125" s="217"/>
      <c r="E125" s="310"/>
      <c r="G125" s="391"/>
    </row>
    <row r="126" spans="1:7" s="398" customFormat="1" ht="15.75">
      <c r="A126" s="1251" t="s">
        <v>662</v>
      </c>
      <c r="B126" s="1251"/>
      <c r="C126" s="1251"/>
      <c r="D126" s="1251"/>
      <c r="E126" s="426"/>
      <c r="G126" s="391"/>
    </row>
    <row r="127" spans="1:7" s="398" customFormat="1" ht="15">
      <c r="A127" s="310"/>
      <c r="B127" s="423"/>
      <c r="C127" s="310"/>
      <c r="D127" s="217"/>
      <c r="E127" s="310"/>
      <c r="G127" s="391"/>
    </row>
    <row r="128" spans="1:7" s="398" customFormat="1" ht="15">
      <c r="A128" s="310"/>
      <c r="B128" s="423"/>
      <c r="C128" s="310"/>
      <c r="D128" s="217"/>
      <c r="E128" s="310"/>
      <c r="G128" s="391"/>
    </row>
    <row r="129" spans="1:7" s="398" customFormat="1" ht="15">
      <c r="A129" s="1250" t="s">
        <v>664</v>
      </c>
      <c r="B129" s="1250"/>
      <c r="C129" s="1250"/>
      <c r="D129" s="1250"/>
      <c r="E129" s="1250"/>
      <c r="G129" s="391"/>
    </row>
    <row r="130" spans="1:7" s="392" customFormat="1" ht="15">
      <c r="A130" s="115"/>
      <c r="B130" s="423"/>
      <c r="C130" s="115"/>
      <c r="D130" s="573"/>
      <c r="E130" s="115"/>
      <c r="G130" s="399"/>
    </row>
    <row r="131" spans="1:7" s="392" customFormat="1" ht="15">
      <c r="A131" s="386"/>
      <c r="B131" s="402"/>
      <c r="C131" s="629"/>
      <c r="D131" s="635"/>
      <c r="E131" s="635"/>
      <c r="G131" s="399"/>
    </row>
    <row r="132" spans="1:7" s="392" customFormat="1" ht="15">
      <c r="A132" s="386">
        <v>4641513</v>
      </c>
      <c r="B132" s="402"/>
      <c r="C132" s="629" t="s">
        <v>1029</v>
      </c>
      <c r="D132" s="635">
        <f>'Körjegyzőség 2013'!E15</f>
        <v>13934161</v>
      </c>
      <c r="E132" s="635">
        <v>13934</v>
      </c>
      <c r="G132" s="399"/>
    </row>
    <row r="133" spans="1:7" s="392" customFormat="1" ht="15">
      <c r="A133" s="386">
        <v>464122</v>
      </c>
      <c r="B133" s="402"/>
      <c r="C133" s="629" t="s">
        <v>1245</v>
      </c>
      <c r="D133" s="858"/>
      <c r="E133" s="635"/>
      <c r="G133" s="399"/>
    </row>
    <row r="134" spans="1:7" s="392" customFormat="1" ht="15">
      <c r="A134" s="1002">
        <v>944215</v>
      </c>
      <c r="B134" s="1003">
        <v>8419019</v>
      </c>
      <c r="C134" s="936" t="s">
        <v>832</v>
      </c>
      <c r="D134" s="1004">
        <f>Bérek2013!Y45+Bérek2013!Z45</f>
        <v>1613280</v>
      </c>
      <c r="E134" s="1005">
        <f>+ROUND(D134,-3)/1000</f>
        <v>1613</v>
      </c>
      <c r="G134" s="399"/>
    </row>
    <row r="135" spans="1:7" s="392" customFormat="1" ht="15.75">
      <c r="A135" s="138"/>
      <c r="B135" s="131"/>
      <c r="C135" s="428"/>
      <c r="D135" s="340"/>
      <c r="E135" s="428"/>
      <c r="G135" s="399"/>
    </row>
    <row r="136" spans="1:7" s="392" customFormat="1" ht="15.75">
      <c r="A136" s="424">
        <v>46416</v>
      </c>
      <c r="B136" s="425"/>
      <c r="C136" s="425" t="s">
        <v>1049</v>
      </c>
      <c r="D136" s="573"/>
      <c r="E136" s="138"/>
      <c r="G136" s="399"/>
    </row>
    <row r="137" spans="1:7" s="392" customFormat="1" ht="15">
      <c r="A137" s="115"/>
      <c r="B137" s="423"/>
      <c r="C137" s="115"/>
      <c r="D137" s="573"/>
      <c r="E137" s="115"/>
      <c r="G137" s="399"/>
    </row>
    <row r="138" spans="1:7" s="392" customFormat="1" ht="15">
      <c r="A138" s="386">
        <v>4641621</v>
      </c>
      <c r="B138" s="402"/>
      <c r="C138" s="622" t="s">
        <v>1016</v>
      </c>
      <c r="D138" s="623"/>
      <c r="E138" s="1080"/>
      <c r="G138" s="399"/>
    </row>
    <row r="139" spans="1:7" s="392" customFormat="1" ht="15">
      <c r="A139" s="386">
        <v>4641622</v>
      </c>
      <c r="B139" s="402"/>
      <c r="C139" s="622" t="s">
        <v>1017</v>
      </c>
      <c r="D139" s="623"/>
      <c r="E139" s="624">
        <v>0</v>
      </c>
      <c r="G139" s="399"/>
    </row>
    <row r="140" spans="1:7" s="392" customFormat="1" ht="15">
      <c r="A140" s="386">
        <v>4641623</v>
      </c>
      <c r="B140" s="402"/>
      <c r="C140" s="622" t="s">
        <v>1228</v>
      </c>
      <c r="D140" s="623"/>
      <c r="E140" s="624">
        <v>0</v>
      </c>
      <c r="G140" s="399"/>
    </row>
    <row r="141" spans="1:7" s="398" customFormat="1" ht="15">
      <c r="A141" s="386" t="s">
        <v>480</v>
      </c>
      <c r="B141" s="334"/>
      <c r="C141" s="418" t="s">
        <v>928</v>
      </c>
      <c r="D141" s="626"/>
      <c r="E141" s="626">
        <f>'-Eseti pénz.szoc.ell.'!E38</f>
        <v>0</v>
      </c>
      <c r="G141" s="391"/>
    </row>
    <row r="142" spans="1:7" s="398" customFormat="1" ht="15">
      <c r="A142" s="1002" t="s">
        <v>480</v>
      </c>
      <c r="B142" s="1003"/>
      <c r="C142" s="937" t="s">
        <v>1236</v>
      </c>
      <c r="D142" s="809"/>
      <c r="E142" s="809">
        <f>'890441-Közcélú 2012'!D62</f>
        <v>148765</v>
      </c>
      <c r="G142" s="391"/>
    </row>
    <row r="143" spans="1:7" s="398" customFormat="1" ht="15">
      <c r="A143" s="386"/>
      <c r="B143" s="334"/>
      <c r="C143" s="629" t="s">
        <v>364</v>
      </c>
      <c r="D143" s="630"/>
      <c r="E143" s="631">
        <v>0</v>
      </c>
      <c r="G143" s="391"/>
    </row>
    <row r="144" spans="1:7" s="398" customFormat="1" ht="15">
      <c r="A144" s="386"/>
      <c r="B144" s="334"/>
      <c r="C144" s="627" t="s">
        <v>452</v>
      </c>
      <c r="D144" s="628"/>
      <c r="E144" s="626"/>
      <c r="G144" s="391"/>
    </row>
    <row r="145" spans="1:7" s="398" customFormat="1" ht="15">
      <c r="A145" s="386"/>
      <c r="B145" s="334"/>
      <c r="C145" s="627" t="s">
        <v>1246</v>
      </c>
      <c r="D145" s="628"/>
      <c r="E145" s="626"/>
      <c r="G145" s="391"/>
    </row>
    <row r="146" spans="1:7" s="398" customFormat="1" ht="15">
      <c r="A146" s="386">
        <v>46415211</v>
      </c>
      <c r="B146" s="334"/>
      <c r="C146" s="629" t="s">
        <v>1122</v>
      </c>
      <c r="D146" s="630"/>
      <c r="E146" s="631">
        <v>0</v>
      </c>
      <c r="G146" s="391"/>
    </row>
    <row r="147" spans="1:7" s="398" customFormat="1" ht="15">
      <c r="A147" s="386">
        <v>46415212</v>
      </c>
      <c r="B147" s="334"/>
      <c r="C147" s="637" t="s">
        <v>49</v>
      </c>
      <c r="D147" s="630"/>
      <c r="E147" s="631">
        <v>0</v>
      </c>
      <c r="F147" s="400"/>
      <c r="G147" s="391"/>
    </row>
    <row r="148" spans="1:7" s="398" customFormat="1" ht="15">
      <c r="A148" s="386"/>
      <c r="B148" s="334"/>
      <c r="C148" s="632" t="s">
        <v>479</v>
      </c>
      <c r="D148" s="628"/>
      <c r="E148" s="626"/>
      <c r="F148" s="400"/>
      <c r="G148" s="391"/>
    </row>
    <row r="149" spans="1:7" s="398" customFormat="1" ht="15">
      <c r="A149" s="386">
        <v>464112</v>
      </c>
      <c r="B149" s="334"/>
      <c r="C149" s="632" t="s">
        <v>508</v>
      </c>
      <c r="D149" s="628"/>
      <c r="E149" s="626">
        <v>0</v>
      </c>
      <c r="F149" s="400"/>
      <c r="G149" s="391"/>
    </row>
    <row r="150" spans="1:7" s="398" customFormat="1" ht="15">
      <c r="A150" s="1002">
        <v>464132</v>
      </c>
      <c r="B150" s="1003"/>
      <c r="C150" s="1007" t="s">
        <v>764</v>
      </c>
      <c r="D150" s="1008">
        <f>12*1867000</f>
        <v>22404000</v>
      </c>
      <c r="E150" s="809">
        <f>+ROUND(D150,-3)/1000</f>
        <v>22404</v>
      </c>
      <c r="F150" s="400"/>
      <c r="G150" s="391"/>
    </row>
    <row r="151" spans="1:7" s="398" customFormat="1" ht="15">
      <c r="A151" s="625"/>
      <c r="B151" s="334"/>
      <c r="C151" s="633" t="s">
        <v>702</v>
      </c>
      <c r="D151" s="628"/>
      <c r="E151" s="626"/>
      <c r="F151" s="400"/>
      <c r="G151" s="391"/>
    </row>
    <row r="152" spans="1:7" s="398" customFormat="1" ht="15.75">
      <c r="A152" s="1251" t="s">
        <v>177</v>
      </c>
      <c r="B152" s="1251"/>
      <c r="C152" s="1251"/>
      <c r="D152" s="1251"/>
      <c r="E152" s="426">
        <f>SUM(E131:E150)</f>
        <v>186716</v>
      </c>
      <c r="G152" s="391"/>
    </row>
    <row r="153" spans="1:7" s="398" customFormat="1" ht="15.75">
      <c r="A153" s="429"/>
      <c r="B153" s="430"/>
      <c r="C153" s="429"/>
      <c r="D153" s="575"/>
      <c r="E153" s="432"/>
      <c r="G153" s="391"/>
    </row>
    <row r="154" spans="1:7" s="398" customFormat="1" ht="15.75">
      <c r="A154" s="429"/>
      <c r="B154" s="430"/>
      <c r="C154" s="540" t="s">
        <v>348</v>
      </c>
      <c r="D154" s="576"/>
      <c r="E154" s="432">
        <f>+D155+D156</f>
        <v>0</v>
      </c>
      <c r="G154" s="391"/>
    </row>
    <row r="155" spans="1:7" s="398" customFormat="1" ht="15.75">
      <c r="A155" s="429"/>
      <c r="B155" s="430"/>
      <c r="C155" s="431"/>
      <c r="D155" s="577">
        <v>0</v>
      </c>
      <c r="E155" s="432"/>
      <c r="G155" s="391"/>
    </row>
    <row r="156" spans="1:7" s="398" customFormat="1" ht="15.75">
      <c r="A156" s="429"/>
      <c r="B156" s="430"/>
      <c r="C156" s="431"/>
      <c r="D156" s="577">
        <v>0</v>
      </c>
      <c r="E156" s="432"/>
      <c r="G156" s="391"/>
    </row>
    <row r="157" spans="1:7" s="398" customFormat="1" ht="15">
      <c r="A157" s="433" t="s">
        <v>1174</v>
      </c>
      <c r="B157" s="434"/>
      <c r="C157" s="433"/>
      <c r="D157" s="435"/>
      <c r="E157" s="435">
        <f>+E154</f>
        <v>0</v>
      </c>
      <c r="G157" s="391"/>
    </row>
    <row r="158" spans="1:7" s="398" customFormat="1" ht="15.75">
      <c r="A158" s="1248" t="s">
        <v>973</v>
      </c>
      <c r="B158" s="1248"/>
      <c r="C158" s="1248"/>
      <c r="D158" s="1248"/>
      <c r="E158" s="427"/>
      <c r="G158" s="391"/>
    </row>
    <row r="159" spans="1:7" s="398" customFormat="1" ht="15.75">
      <c r="A159" s="396"/>
      <c r="B159" s="397"/>
      <c r="C159" s="396"/>
      <c r="D159" s="399"/>
      <c r="E159" s="390"/>
      <c r="G159" s="391"/>
    </row>
    <row r="160" spans="1:7" s="398" customFormat="1" ht="15.75">
      <c r="A160" s="396"/>
      <c r="B160" s="397"/>
      <c r="C160" s="396"/>
      <c r="D160" s="399"/>
      <c r="E160" s="390"/>
      <c r="G160" s="391"/>
    </row>
    <row r="161" spans="1:7" s="398" customFormat="1" ht="15.75">
      <c r="A161" s="396"/>
      <c r="B161" s="397"/>
      <c r="C161" s="396"/>
      <c r="D161" s="399"/>
      <c r="E161" s="390"/>
      <c r="G161" s="391"/>
    </row>
    <row r="162" spans="1:7" s="398" customFormat="1" ht="15.75">
      <c r="A162" s="396"/>
      <c r="B162" s="397"/>
      <c r="C162" s="396"/>
      <c r="D162" s="399"/>
      <c r="E162" s="390"/>
      <c r="G162" s="391"/>
    </row>
    <row r="163" spans="1:7" s="398" customFormat="1" ht="15.75">
      <c r="A163" s="396"/>
      <c r="B163" s="397"/>
      <c r="C163" s="396"/>
      <c r="D163" s="399"/>
      <c r="E163" s="390"/>
      <c r="G163" s="391"/>
    </row>
    <row r="164" spans="1:7" s="398" customFormat="1" ht="15.75">
      <c r="A164" s="396"/>
      <c r="B164" s="397"/>
      <c r="C164" s="396"/>
      <c r="D164" s="399"/>
      <c r="E164" s="390"/>
      <c r="G164" s="391"/>
    </row>
    <row r="165" spans="1:7" s="398" customFormat="1" ht="15.75">
      <c r="A165" s="396"/>
      <c r="B165" s="397"/>
      <c r="C165" s="396"/>
      <c r="D165" s="399"/>
      <c r="E165" s="390"/>
      <c r="G165" s="391"/>
    </row>
    <row r="166" spans="1:7" s="398" customFormat="1" ht="15.75">
      <c r="A166" s="396"/>
      <c r="B166" s="397"/>
      <c r="C166" s="396"/>
      <c r="D166" s="399"/>
      <c r="E166" s="390"/>
      <c r="G166" s="391"/>
    </row>
    <row r="167" spans="1:7" s="398" customFormat="1" ht="15.75">
      <c r="A167" s="396"/>
      <c r="B167" s="397"/>
      <c r="C167" s="396"/>
      <c r="D167" s="399"/>
      <c r="E167" s="390"/>
      <c r="G167" s="391"/>
    </row>
    <row r="168" spans="1:7" s="398" customFormat="1" ht="15.75">
      <c r="A168" s="396"/>
      <c r="B168" s="397"/>
      <c r="C168" s="396"/>
      <c r="D168" s="399"/>
      <c r="E168" s="390"/>
      <c r="G168" s="391"/>
    </row>
    <row r="169" spans="1:7" s="398" customFormat="1" ht="15.75">
      <c r="A169" s="396"/>
      <c r="B169" s="397"/>
      <c r="C169" s="396"/>
      <c r="D169" s="399"/>
      <c r="E169" s="390"/>
      <c r="G169" s="391"/>
    </row>
    <row r="170" spans="1:7" s="398" customFormat="1" ht="15.75">
      <c r="A170" s="396"/>
      <c r="B170" s="397"/>
      <c r="C170" s="396"/>
      <c r="D170" s="399"/>
      <c r="E170" s="390"/>
      <c r="G170" s="391"/>
    </row>
    <row r="171" spans="1:7" s="398" customFormat="1" ht="15.75">
      <c r="A171" s="396"/>
      <c r="B171" s="397"/>
      <c r="C171" s="396"/>
      <c r="D171" s="399"/>
      <c r="E171" s="390"/>
      <c r="G171" s="391"/>
    </row>
    <row r="172" spans="1:7" s="398" customFormat="1" ht="15.75">
      <c r="A172" s="396"/>
      <c r="B172" s="397"/>
      <c r="C172" s="396"/>
      <c r="D172" s="399"/>
      <c r="E172" s="390"/>
      <c r="G172" s="391"/>
    </row>
    <row r="173" spans="1:7" s="398" customFormat="1" ht="15.75">
      <c r="A173" s="396"/>
      <c r="B173" s="397"/>
      <c r="C173" s="396"/>
      <c r="D173" s="399"/>
      <c r="E173" s="390"/>
      <c r="G173" s="391"/>
    </row>
    <row r="174" spans="1:7" s="398" customFormat="1" ht="15.75">
      <c r="A174" s="396"/>
      <c r="B174" s="397"/>
      <c r="C174" s="396"/>
      <c r="D174" s="399"/>
      <c r="E174" s="390"/>
      <c r="G174" s="391"/>
    </row>
    <row r="175" spans="1:7" s="398" customFormat="1" ht="15.75">
      <c r="A175" s="396"/>
      <c r="B175" s="397"/>
      <c r="C175" s="396"/>
      <c r="D175" s="399"/>
      <c r="E175" s="390"/>
      <c r="G175" s="391"/>
    </row>
    <row r="176" spans="1:7" s="398" customFormat="1" ht="15.75">
      <c r="A176" s="396"/>
      <c r="B176" s="397"/>
      <c r="C176" s="396"/>
      <c r="D176" s="399"/>
      <c r="E176" s="390"/>
      <c r="G176" s="391"/>
    </row>
    <row r="177" spans="1:7" s="398" customFormat="1" ht="15.75">
      <c r="A177" s="396"/>
      <c r="B177" s="397"/>
      <c r="C177" s="396"/>
      <c r="D177" s="399"/>
      <c r="E177" s="390"/>
      <c r="G177" s="391"/>
    </row>
    <row r="178" spans="1:7" s="398" customFormat="1" ht="15.75">
      <c r="A178" s="396"/>
      <c r="B178" s="397"/>
      <c r="C178" s="396"/>
      <c r="D178" s="399"/>
      <c r="E178" s="390"/>
      <c r="G178" s="391"/>
    </row>
    <row r="179" spans="1:7" s="398" customFormat="1" ht="15.75">
      <c r="A179" s="396"/>
      <c r="B179" s="397"/>
      <c r="C179" s="396"/>
      <c r="D179" s="399"/>
      <c r="E179" s="390"/>
      <c r="G179" s="391"/>
    </row>
    <row r="180" spans="1:7" s="398" customFormat="1" ht="15.75">
      <c r="A180" s="396"/>
      <c r="B180" s="397"/>
      <c r="C180" s="396"/>
      <c r="D180" s="399"/>
      <c r="E180" s="390"/>
      <c r="G180" s="391"/>
    </row>
  </sheetData>
  <sheetProtection/>
  <mergeCells count="15">
    <mergeCell ref="G35:I35"/>
    <mergeCell ref="A158:D158"/>
    <mergeCell ref="A124:E124"/>
    <mergeCell ref="A126:D126"/>
    <mergeCell ref="A86:E86"/>
    <mergeCell ref="A152:D152"/>
    <mergeCell ref="A116:D116"/>
    <mergeCell ref="A119:E119"/>
    <mergeCell ref="A129:E129"/>
    <mergeCell ref="A114:D114"/>
    <mergeCell ref="A121:E121"/>
    <mergeCell ref="A4:E4"/>
    <mergeCell ref="A73:D73"/>
    <mergeCell ref="A75:E75"/>
    <mergeCell ref="A84:D8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rowBreaks count="4" manualBreakCount="4">
    <brk id="10" max="4" man="1"/>
    <brk id="73" max="4" man="1"/>
    <brk id="84" max="4" man="1"/>
    <brk id="127" max="4" man="1"/>
  </rowBreaks>
  <colBreaks count="1" manualBreakCount="1">
    <brk id="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F113"/>
  <sheetViews>
    <sheetView zoomScalePageLayoutView="0" workbookViewId="0" topLeftCell="A43">
      <selection activeCell="D101" sqref="D101"/>
    </sheetView>
  </sheetViews>
  <sheetFormatPr defaultColWidth="9.140625" defaultRowHeight="12.75"/>
  <cols>
    <col min="1" max="1" width="18.28125" style="0" customWidth="1"/>
    <col min="2" max="2" width="12.57421875" style="0" bestFit="1" customWidth="1"/>
    <col min="3" max="3" width="63.28125" style="0" bestFit="1" customWidth="1"/>
    <col min="4" max="4" width="12.7109375" style="0" bestFit="1" customWidth="1"/>
    <col min="5" max="5" width="14.00390625" style="0" customWidth="1"/>
  </cols>
  <sheetData>
    <row r="2" spans="1:5" ht="15.75">
      <c r="A2" s="378"/>
      <c r="B2" s="377"/>
      <c r="C2" s="393" t="s">
        <v>174</v>
      </c>
      <c r="D2" s="387"/>
      <c r="E2" s="378"/>
    </row>
    <row r="3" spans="1:5" ht="15.75">
      <c r="A3" s="378"/>
      <c r="B3" s="377"/>
      <c r="C3" s="393"/>
      <c r="D3" s="387"/>
      <c r="E3" s="378"/>
    </row>
    <row r="4" spans="1:5" ht="15">
      <c r="A4" s="378"/>
      <c r="B4" s="377"/>
      <c r="C4" s="378"/>
      <c r="D4" s="387"/>
      <c r="E4" s="378"/>
    </row>
    <row r="5" spans="1:5" ht="15">
      <c r="A5" s="1252" t="s">
        <v>163</v>
      </c>
      <c r="B5" s="1252"/>
      <c r="C5" s="1252"/>
      <c r="D5" s="1252"/>
      <c r="E5" s="1252"/>
    </row>
    <row r="6" spans="1:5" ht="15.75">
      <c r="A6" s="389"/>
      <c r="B6" s="388"/>
      <c r="C6" s="374" t="s">
        <v>176</v>
      </c>
      <c r="D6" s="387"/>
      <c r="E6" s="387" t="s">
        <v>29</v>
      </c>
    </row>
    <row r="7" spans="1:5" ht="15">
      <c r="A7" s="389"/>
      <c r="B7" s="388"/>
      <c r="C7" s="378"/>
      <c r="D7" s="387"/>
      <c r="E7" s="387"/>
    </row>
    <row r="8" spans="1:5" ht="15">
      <c r="A8" s="310" t="s">
        <v>1497</v>
      </c>
      <c r="B8" s="423" t="s">
        <v>1230</v>
      </c>
      <c r="C8" s="310" t="s">
        <v>1037</v>
      </c>
      <c r="D8" s="217"/>
      <c r="E8" s="217"/>
    </row>
    <row r="9" spans="1:5" ht="12.75">
      <c r="A9" s="331">
        <v>511111</v>
      </c>
      <c r="B9" s="402"/>
      <c r="C9" s="331" t="s">
        <v>30</v>
      </c>
      <c r="D9" s="626">
        <f>Bérek2013!Q38</f>
        <v>71497800</v>
      </c>
      <c r="E9" s="626">
        <f>ROUND(D9,-3)/1000</f>
        <v>71498</v>
      </c>
    </row>
    <row r="10" spans="1:5" ht="12.75">
      <c r="A10" s="331">
        <v>511121</v>
      </c>
      <c r="B10" s="402"/>
      <c r="C10" s="331" t="s">
        <v>31</v>
      </c>
      <c r="D10" s="626">
        <f>Bérek2013!R38</f>
        <v>1462500</v>
      </c>
      <c r="E10" s="626">
        <f>ROUND(D10,-3)/1000</f>
        <v>1463</v>
      </c>
    </row>
    <row r="11" spans="1:5" ht="24.75" customHeight="1">
      <c r="A11" s="331"/>
      <c r="B11" s="402"/>
      <c r="C11" s="642" t="s">
        <v>510</v>
      </c>
      <c r="D11" s="626"/>
      <c r="E11" s="626">
        <f aca="true" t="shared" si="0" ref="E11:E46">ROUND(D11,-3)/1000</f>
        <v>0</v>
      </c>
    </row>
    <row r="12" spans="1:5" ht="12.75">
      <c r="A12" s="331">
        <v>511131</v>
      </c>
      <c r="B12" s="402"/>
      <c r="C12" s="331" t="s">
        <v>33</v>
      </c>
      <c r="D12" s="626">
        <f>Bérek2013!S38</f>
        <v>4615100</v>
      </c>
      <c r="E12" s="626">
        <f t="shared" si="0"/>
        <v>4615</v>
      </c>
    </row>
    <row r="13" spans="1:5" ht="12.75">
      <c r="A13" s="331">
        <v>5111411</v>
      </c>
      <c r="B13" s="402"/>
      <c r="C13" s="418" t="s">
        <v>90</v>
      </c>
      <c r="D13" s="626">
        <f>Bérek2013!T38</f>
        <v>0</v>
      </c>
      <c r="E13" s="626">
        <f t="shared" si="0"/>
        <v>0</v>
      </c>
    </row>
    <row r="14" spans="1:5" ht="12.75">
      <c r="A14" s="331">
        <v>5111412</v>
      </c>
      <c r="B14" s="402"/>
      <c r="C14" s="418" t="s">
        <v>1476</v>
      </c>
      <c r="D14" s="626">
        <f>Bérek2013!U38</f>
        <v>173700</v>
      </c>
      <c r="E14" s="626">
        <f t="shared" si="0"/>
        <v>174</v>
      </c>
    </row>
    <row r="15" spans="1:5" ht="12.75">
      <c r="A15" s="331">
        <v>511115</v>
      </c>
      <c r="B15" s="402"/>
      <c r="C15" s="418" t="s">
        <v>368</v>
      </c>
      <c r="D15" s="626">
        <f>Bérek2013!Q43</f>
        <v>6540000</v>
      </c>
      <c r="E15" s="626">
        <f t="shared" si="0"/>
        <v>6540</v>
      </c>
    </row>
    <row r="16" spans="1:5" ht="13.5" thickBot="1">
      <c r="A16" s="646"/>
      <c r="B16" s="647"/>
      <c r="C16" s="648" t="s">
        <v>1367</v>
      </c>
      <c r="D16" s="965">
        <f>Bérek2013!Q44</f>
        <v>2088000</v>
      </c>
      <c r="E16" s="966">
        <f t="shared" si="0"/>
        <v>2088</v>
      </c>
    </row>
    <row r="17" spans="1:5" ht="13.5" thickBot="1">
      <c r="A17" s="643">
        <v>511</v>
      </c>
      <c r="B17" s="644"/>
      <c r="C17" s="967" t="s">
        <v>399</v>
      </c>
      <c r="D17" s="968">
        <f>SUM(D9:D16)</f>
        <v>86377100</v>
      </c>
      <c r="E17" s="969">
        <f>SUM(E9:E16)</f>
        <v>86378</v>
      </c>
    </row>
    <row r="18" spans="1:5" ht="13.5" thickBot="1">
      <c r="A18" s="331">
        <v>512172</v>
      </c>
      <c r="B18" s="402"/>
      <c r="C18" s="418" t="s">
        <v>1237</v>
      </c>
      <c r="D18" s="965"/>
      <c r="E18" s="965">
        <f t="shared" si="0"/>
        <v>0</v>
      </c>
    </row>
    <row r="19" spans="1:5" ht="13.5" thickBot="1">
      <c r="A19" s="643">
        <v>512</v>
      </c>
      <c r="B19" s="644"/>
      <c r="C19" s="967" t="s">
        <v>1480</v>
      </c>
      <c r="D19" s="968">
        <f>SUM(D18)</f>
        <v>0</v>
      </c>
      <c r="E19" s="969">
        <f t="shared" si="0"/>
        <v>0</v>
      </c>
    </row>
    <row r="20" spans="1:5" ht="12.75">
      <c r="A20" s="646">
        <v>51311</v>
      </c>
      <c r="B20" s="647"/>
      <c r="C20" s="648" t="s">
        <v>1014</v>
      </c>
      <c r="D20" s="965"/>
      <c r="E20" s="862">
        <f t="shared" si="0"/>
        <v>0</v>
      </c>
    </row>
    <row r="21" spans="1:5" ht="12.75">
      <c r="A21" s="331">
        <v>513121</v>
      </c>
      <c r="B21" s="402"/>
      <c r="C21" s="331" t="s">
        <v>394</v>
      </c>
      <c r="D21" s="626">
        <f>Bérek2013!W38</f>
        <v>2000000</v>
      </c>
      <c r="E21" s="626">
        <f t="shared" si="0"/>
        <v>2000</v>
      </c>
    </row>
    <row r="22" spans="1:5" ht="12.75">
      <c r="A22" s="331">
        <v>513131</v>
      </c>
      <c r="B22" s="402"/>
      <c r="C22" s="331" t="s">
        <v>35</v>
      </c>
      <c r="D22" s="626">
        <v>100000</v>
      </c>
      <c r="E22" s="626">
        <f t="shared" si="0"/>
        <v>100</v>
      </c>
    </row>
    <row r="23" spans="1:5" ht="12.75">
      <c r="A23" s="331">
        <v>5131911</v>
      </c>
      <c r="B23" s="402"/>
      <c r="C23" s="331" t="s">
        <v>1477</v>
      </c>
      <c r="D23" s="639"/>
      <c r="E23" s="626">
        <f t="shared" si="0"/>
        <v>0</v>
      </c>
    </row>
    <row r="24" spans="1:5" ht="13.5" thickBot="1">
      <c r="A24" s="331">
        <v>5131912</v>
      </c>
      <c r="B24" s="402"/>
      <c r="C24" s="331" t="s">
        <v>1307</v>
      </c>
      <c r="D24" s="971">
        <v>200000</v>
      </c>
      <c r="E24" s="966">
        <f t="shared" si="0"/>
        <v>200</v>
      </c>
    </row>
    <row r="25" spans="1:5" ht="13.5" thickBot="1">
      <c r="A25" s="643">
        <v>513</v>
      </c>
      <c r="B25" s="644"/>
      <c r="C25" s="970" t="s">
        <v>1481</v>
      </c>
      <c r="D25" s="972">
        <f>SUM(D20:D24)</f>
        <v>2300000</v>
      </c>
      <c r="E25" s="969">
        <f>SUM(E20:E24)</f>
        <v>2300</v>
      </c>
    </row>
    <row r="26" spans="1:5" ht="13.5" thickBot="1">
      <c r="A26" s="331">
        <v>514131</v>
      </c>
      <c r="B26" s="402"/>
      <c r="C26" s="418" t="s">
        <v>39</v>
      </c>
      <c r="D26" s="862">
        <f>'841125-115-Elsőfokú ép. hatóság'!C23+43200+108000+51840+64800+99360</f>
        <v>488160</v>
      </c>
      <c r="E26" s="1054">
        <f t="shared" si="0"/>
        <v>488</v>
      </c>
    </row>
    <row r="27" spans="1:5" ht="12.75">
      <c r="A27" s="331"/>
      <c r="B27" s="402"/>
      <c r="C27" s="331" t="s">
        <v>134</v>
      </c>
      <c r="D27" s="626"/>
      <c r="E27" s="626">
        <f t="shared" si="0"/>
        <v>0</v>
      </c>
    </row>
    <row r="28" spans="1:5" ht="12.75">
      <c r="A28" s="331">
        <v>514141</v>
      </c>
      <c r="B28" s="402"/>
      <c r="C28" s="331" t="s">
        <v>132</v>
      </c>
      <c r="D28" s="626">
        <f>Bérek2013!Z38+Bérek2013!Z42</f>
        <v>5400000</v>
      </c>
      <c r="E28" s="626">
        <f t="shared" si="0"/>
        <v>5400</v>
      </c>
    </row>
    <row r="29" spans="1:5" ht="13.5" thickBot="1">
      <c r="A29" s="331">
        <v>514191</v>
      </c>
      <c r="B29" s="402"/>
      <c r="C29" s="418" t="s">
        <v>1318</v>
      </c>
      <c r="D29" s="626">
        <f>38650*0.3*5</f>
        <v>57975</v>
      </c>
      <c r="E29" s="966">
        <f t="shared" si="0"/>
        <v>58</v>
      </c>
    </row>
    <row r="30" spans="1:5" ht="13.5" thickBot="1">
      <c r="A30" s="643">
        <v>514</v>
      </c>
      <c r="B30" s="644"/>
      <c r="C30" s="650" t="s">
        <v>1482</v>
      </c>
      <c r="D30" s="962">
        <f>SUM(D26:D29)</f>
        <v>5946135</v>
      </c>
      <c r="E30" s="969">
        <f>SUM(E26:E29)</f>
        <v>5946</v>
      </c>
    </row>
    <row r="31" spans="1:5" ht="12.75">
      <c r="A31" s="331">
        <v>5151511</v>
      </c>
      <c r="B31" s="402"/>
      <c r="C31" s="622" t="s">
        <v>1478</v>
      </c>
      <c r="D31" s="639"/>
      <c r="E31" s="862">
        <f t="shared" si="0"/>
        <v>0</v>
      </c>
    </row>
    <row r="32" spans="1:5" ht="12.75">
      <c r="A32" s="413"/>
      <c r="B32" s="413"/>
      <c r="C32" s="413" t="s">
        <v>91</v>
      </c>
      <c r="D32" s="414"/>
      <c r="E32" s="626">
        <f t="shared" si="0"/>
        <v>0</v>
      </c>
    </row>
    <row r="33" spans="1:5" ht="13.5" thickBot="1">
      <c r="A33" s="331">
        <v>5151512</v>
      </c>
      <c r="B33" s="402"/>
      <c r="C33" s="622" t="s">
        <v>1479</v>
      </c>
      <c r="D33" s="971"/>
      <c r="E33" s="966">
        <f t="shared" si="0"/>
        <v>0</v>
      </c>
    </row>
    <row r="34" spans="1:5" ht="13.5" thickBot="1">
      <c r="A34" s="643">
        <v>515</v>
      </c>
      <c r="B34" s="644"/>
      <c r="C34" s="973" t="s">
        <v>1484</v>
      </c>
      <c r="D34" s="972">
        <f>SUM(D31:D33)</f>
        <v>0</v>
      </c>
      <c r="E34" s="969">
        <f t="shared" si="0"/>
        <v>0</v>
      </c>
    </row>
    <row r="35" spans="1:5" ht="12.75">
      <c r="A35" s="331">
        <v>516111</v>
      </c>
      <c r="B35" s="402"/>
      <c r="C35" s="331" t="s">
        <v>1474</v>
      </c>
      <c r="D35" s="727"/>
      <c r="E35" s="862">
        <f t="shared" si="0"/>
        <v>0</v>
      </c>
    </row>
    <row r="36" spans="1:5" ht="12.75">
      <c r="A36" s="331"/>
      <c r="B36" s="402"/>
      <c r="C36" s="331" t="s">
        <v>1475</v>
      </c>
      <c r="D36" s="639"/>
      <c r="E36" s="626">
        <f t="shared" si="0"/>
        <v>0</v>
      </c>
    </row>
    <row r="37" spans="1:5" ht="13.5" thickBot="1">
      <c r="A37" s="651"/>
      <c r="B37" s="652"/>
      <c r="C37" s="651" t="s">
        <v>730</v>
      </c>
      <c r="D37" s="974">
        <v>1080000</v>
      </c>
      <c r="E37" s="966">
        <f t="shared" si="0"/>
        <v>1080</v>
      </c>
    </row>
    <row r="38" spans="1:5" ht="13.5" thickBot="1">
      <c r="A38" s="643">
        <v>516</v>
      </c>
      <c r="B38" s="644"/>
      <c r="C38" s="970" t="s">
        <v>1485</v>
      </c>
      <c r="D38" s="972">
        <f>SUM(D35:D37)</f>
        <v>1080000</v>
      </c>
      <c r="E38" s="969">
        <f t="shared" si="0"/>
        <v>1080</v>
      </c>
    </row>
    <row r="39" spans="1:5" ht="12.75">
      <c r="A39" s="331">
        <v>52213</v>
      </c>
      <c r="B39" s="402"/>
      <c r="C39" s="331" t="s">
        <v>1317</v>
      </c>
      <c r="D39" s="727"/>
      <c r="E39" s="862">
        <f t="shared" si="0"/>
        <v>0</v>
      </c>
    </row>
    <row r="40" spans="1:5" ht="12.75">
      <c r="A40" s="653">
        <v>5221</v>
      </c>
      <c r="B40" s="652"/>
      <c r="C40" s="622" t="s">
        <v>120</v>
      </c>
      <c r="D40" s="624"/>
      <c r="E40" s="626">
        <f t="shared" si="0"/>
        <v>0</v>
      </c>
    </row>
    <row r="41" spans="1:5" ht="12.75">
      <c r="A41" s="386">
        <v>522113</v>
      </c>
      <c r="B41" s="402"/>
      <c r="C41" s="418" t="s">
        <v>1512</v>
      </c>
      <c r="D41" s="624">
        <v>150000</v>
      </c>
      <c r="E41" s="626">
        <f t="shared" si="0"/>
        <v>150</v>
      </c>
    </row>
    <row r="42" spans="1:5" ht="12.75">
      <c r="A42" s="386">
        <v>522114</v>
      </c>
      <c r="B42" s="402"/>
      <c r="C42" s="331" t="s">
        <v>116</v>
      </c>
      <c r="D42" s="624"/>
      <c r="E42" s="626">
        <f t="shared" si="0"/>
        <v>0</v>
      </c>
    </row>
    <row r="43" spans="1:5" ht="12.75">
      <c r="A43" s="386"/>
      <c r="B43" s="402"/>
      <c r="C43" s="331"/>
      <c r="D43" s="624"/>
      <c r="E43" s="626">
        <f t="shared" si="0"/>
        <v>0</v>
      </c>
    </row>
    <row r="44" spans="1:5" ht="12.75">
      <c r="A44" s="331">
        <v>52218</v>
      </c>
      <c r="B44" s="402"/>
      <c r="C44" s="331" t="s">
        <v>795</v>
      </c>
      <c r="D44" s="329">
        <f>Bérek2013!Y45+Bérek2013!Z45</f>
        <v>1613280</v>
      </c>
      <c r="E44" s="626">
        <f t="shared" si="0"/>
        <v>1613</v>
      </c>
    </row>
    <row r="45" spans="1:5" ht="12.75">
      <c r="A45" s="331"/>
      <c r="B45" s="402"/>
      <c r="C45" s="331" t="s">
        <v>133</v>
      </c>
      <c r="D45" s="624"/>
      <c r="E45" s="626">
        <f t="shared" si="0"/>
        <v>0</v>
      </c>
    </row>
    <row r="46" spans="1:5" ht="13.5" thickBot="1">
      <c r="A46" s="331">
        <v>52219</v>
      </c>
      <c r="B46" s="402"/>
      <c r="C46" s="331" t="s">
        <v>117</v>
      </c>
      <c r="D46" s="624">
        <f>Bérek2013!Y46</f>
        <v>0</v>
      </c>
      <c r="E46" s="626">
        <f t="shared" si="0"/>
        <v>0</v>
      </c>
    </row>
    <row r="47" spans="1:5" ht="13.5" thickBot="1">
      <c r="A47" s="643">
        <v>52</v>
      </c>
      <c r="B47" s="644"/>
      <c r="C47" s="650" t="s">
        <v>1486</v>
      </c>
      <c r="D47" s="962">
        <f>SUM(D39:D46)</f>
        <v>1763280</v>
      </c>
      <c r="E47" s="179">
        <f>SUM(E39:E46)</f>
        <v>1763</v>
      </c>
    </row>
    <row r="48" spans="1:5" ht="16.5" thickBot="1">
      <c r="A48" s="963" t="s">
        <v>1503</v>
      </c>
      <c r="B48" s="964"/>
      <c r="C48" s="964"/>
      <c r="D48" s="440">
        <f>D17+D19+D25+D30+D34+D38+D47</f>
        <v>97466515</v>
      </c>
      <c r="E48" s="440">
        <f>E17+E19+E25+E30+E34+E38+E47</f>
        <v>97467</v>
      </c>
    </row>
    <row r="49" spans="1:5" ht="15">
      <c r="A49" s="310"/>
      <c r="B49" s="423"/>
      <c r="C49" s="310"/>
      <c r="D49" s="217"/>
      <c r="E49" s="217"/>
    </row>
    <row r="50" spans="1:5" ht="13.5" thickBot="1">
      <c r="A50" s="53">
        <v>53112</v>
      </c>
      <c r="B50" s="48"/>
      <c r="C50" s="53" t="s">
        <v>1212</v>
      </c>
      <c r="D50" s="639"/>
      <c r="E50" s="184">
        <f>(E17+E19+E47+E38+E21)*0.27</f>
        <v>24629.670000000002</v>
      </c>
    </row>
    <row r="51" spans="1:5" ht="16.5" thickBot="1">
      <c r="A51" s="1255" t="s">
        <v>992</v>
      </c>
      <c r="B51" s="1256"/>
      <c r="C51" s="1256"/>
      <c r="D51" s="1256"/>
      <c r="E51" s="439">
        <f>+E50</f>
        <v>24629.670000000002</v>
      </c>
    </row>
    <row r="52" spans="1:5" ht="15">
      <c r="A52" s="437"/>
      <c r="B52" s="438"/>
      <c r="C52" s="437"/>
      <c r="D52" s="436"/>
      <c r="E52" s="436"/>
    </row>
    <row r="53" spans="1:5" ht="12.75">
      <c r="A53" s="331"/>
      <c r="B53" s="402"/>
      <c r="C53" s="331"/>
      <c r="D53" s="639"/>
      <c r="E53" s="639"/>
    </row>
    <row r="54" spans="1:5" ht="12.75">
      <c r="A54" s="53">
        <v>5421</v>
      </c>
      <c r="B54" s="48"/>
      <c r="C54" s="634" t="s">
        <v>200</v>
      </c>
      <c r="D54" s="184">
        <v>0</v>
      </c>
      <c r="E54" s="184"/>
    </row>
    <row r="55" spans="1:5" ht="12.75">
      <c r="A55" s="53"/>
      <c r="B55" s="48"/>
      <c r="C55" s="622" t="s">
        <v>81</v>
      </c>
      <c r="D55" s="639"/>
      <c r="E55" s="639"/>
    </row>
    <row r="56" spans="1:5" ht="12.75">
      <c r="A56" s="53">
        <v>5431</v>
      </c>
      <c r="B56" s="48"/>
      <c r="C56" s="634" t="s">
        <v>993</v>
      </c>
      <c r="D56" s="184">
        <f>SUM(D57:D58)</f>
        <v>2047225</v>
      </c>
      <c r="E56" s="184">
        <f>SUM(E57:E58)</f>
        <v>2047</v>
      </c>
    </row>
    <row r="57" spans="1:5" ht="12.75">
      <c r="A57" s="53"/>
      <c r="B57" s="48"/>
      <c r="C57" s="936" t="s">
        <v>411</v>
      </c>
      <c r="D57" s="1067">
        <v>2000000</v>
      </c>
      <c r="E57" s="639">
        <f>ROUND(D57,-3)/1000</f>
        <v>2000</v>
      </c>
    </row>
    <row r="58" spans="1:5" ht="12.75">
      <c r="A58" s="53"/>
      <c r="B58" s="48"/>
      <c r="C58" s="936" t="s">
        <v>956</v>
      </c>
      <c r="D58" s="809">
        <v>47225</v>
      </c>
      <c r="E58" s="639">
        <f aca="true" t="shared" si="1" ref="E58:E107">ROUND(D58,-3)/1000</f>
        <v>47</v>
      </c>
    </row>
    <row r="59" spans="1:5" ht="12.75">
      <c r="A59" s="53">
        <v>5441</v>
      </c>
      <c r="B59" s="48"/>
      <c r="C59" s="53" t="s">
        <v>201</v>
      </c>
      <c r="D59" s="184">
        <f>SUM(D60:D63)</f>
        <v>464612</v>
      </c>
      <c r="E59" s="184">
        <f>SUM(E60:E63)</f>
        <v>464</v>
      </c>
    </row>
    <row r="60" spans="1:5" ht="12.75">
      <c r="A60" s="53"/>
      <c r="B60" s="48"/>
      <c r="C60" s="936" t="s">
        <v>946</v>
      </c>
      <c r="D60" s="809">
        <v>121981</v>
      </c>
      <c r="E60" s="639">
        <f t="shared" si="1"/>
        <v>122</v>
      </c>
    </row>
    <row r="61" spans="1:5" ht="12.75">
      <c r="A61" s="53"/>
      <c r="B61" s="48"/>
      <c r="C61" s="936" t="s">
        <v>947</v>
      </c>
      <c r="D61" s="809">
        <v>52471</v>
      </c>
      <c r="E61" s="639">
        <f t="shared" si="1"/>
        <v>52</v>
      </c>
    </row>
    <row r="62" spans="1:5" ht="12.75">
      <c r="A62" s="53"/>
      <c r="B62" s="48"/>
      <c r="C62" s="936" t="s">
        <v>948</v>
      </c>
      <c r="D62" s="809">
        <v>31080</v>
      </c>
      <c r="E62" s="639">
        <f t="shared" si="1"/>
        <v>31</v>
      </c>
    </row>
    <row r="63" spans="1:5" ht="12.75">
      <c r="A63" s="53"/>
      <c r="B63" s="48"/>
      <c r="C63" s="936" t="s">
        <v>950</v>
      </c>
      <c r="D63" s="809">
        <v>259080</v>
      </c>
      <c r="E63" s="639">
        <f t="shared" si="1"/>
        <v>259</v>
      </c>
    </row>
    <row r="64" spans="1:5" ht="12.75">
      <c r="A64" s="53">
        <v>5471</v>
      </c>
      <c r="B64" s="48"/>
      <c r="C64" s="53" t="s">
        <v>995</v>
      </c>
      <c r="D64" s="184">
        <f>SUM(D65)</f>
        <v>140000</v>
      </c>
      <c r="E64" s="184">
        <f>SUM(E65)</f>
        <v>140</v>
      </c>
    </row>
    <row r="65" spans="1:5" ht="12.75">
      <c r="A65" s="53"/>
      <c r="B65" s="48"/>
      <c r="C65" s="53"/>
      <c r="D65" s="639">
        <v>140000</v>
      </c>
      <c r="E65" s="639">
        <f t="shared" si="1"/>
        <v>140</v>
      </c>
    </row>
    <row r="66" spans="1:5" ht="12.75">
      <c r="A66" s="53">
        <v>5491</v>
      </c>
      <c r="B66" s="48"/>
      <c r="C66" s="634" t="s">
        <v>996</v>
      </c>
      <c r="D66" s="184">
        <f>SUM(D67:D68)</f>
        <v>425000</v>
      </c>
      <c r="E66" s="184">
        <f>SUM(E67:E68)</f>
        <v>425</v>
      </c>
    </row>
    <row r="67" spans="1:5" ht="12.75">
      <c r="A67" s="53"/>
      <c r="B67" s="48"/>
      <c r="C67" s="936" t="s">
        <v>87</v>
      </c>
      <c r="D67" s="809">
        <v>65000</v>
      </c>
      <c r="E67" s="639">
        <f t="shared" si="1"/>
        <v>65</v>
      </c>
    </row>
    <row r="68" spans="1:5" ht="12.75">
      <c r="A68" s="331"/>
      <c r="B68" s="402"/>
      <c r="C68" s="936" t="s">
        <v>104</v>
      </c>
      <c r="D68" s="809">
        <v>360000</v>
      </c>
      <c r="E68" s="184">
        <f t="shared" si="1"/>
        <v>360</v>
      </c>
    </row>
    <row r="69" spans="1:5" ht="12.75">
      <c r="A69" s="53">
        <v>55111</v>
      </c>
      <c r="B69" s="48"/>
      <c r="C69" s="634" t="s">
        <v>998</v>
      </c>
      <c r="D69" s="184">
        <f>SUM(D70)</f>
        <v>0</v>
      </c>
      <c r="E69" s="639">
        <f t="shared" si="1"/>
        <v>0</v>
      </c>
    </row>
    <row r="70" spans="1:5" ht="12.75">
      <c r="A70" s="53"/>
      <c r="B70" s="48"/>
      <c r="C70" s="622" t="s">
        <v>852</v>
      </c>
      <c r="D70" s="639"/>
      <c r="E70" s="639">
        <f t="shared" si="1"/>
        <v>0</v>
      </c>
    </row>
    <row r="71" spans="1:5" ht="12.75">
      <c r="A71" s="53">
        <v>55119</v>
      </c>
      <c r="B71" s="48"/>
      <c r="C71" s="634" t="s">
        <v>999</v>
      </c>
      <c r="D71" s="184">
        <f>SUM(D72)</f>
        <v>3360420</v>
      </c>
      <c r="E71" s="184">
        <f>SUM(E72)</f>
        <v>3360</v>
      </c>
    </row>
    <row r="72" spans="1:5" ht="12.75">
      <c r="A72" s="331"/>
      <c r="B72" s="402"/>
      <c r="C72" s="936" t="s">
        <v>957</v>
      </c>
      <c r="D72" s="809">
        <v>3360420</v>
      </c>
      <c r="E72" s="639">
        <f t="shared" si="1"/>
        <v>3360</v>
      </c>
    </row>
    <row r="73" spans="1:5" ht="12.75">
      <c r="A73" s="53">
        <v>552121</v>
      </c>
      <c r="B73" s="48"/>
      <c r="C73" s="634" t="s">
        <v>1472</v>
      </c>
      <c r="D73" s="184">
        <f>SUM(D74:D75)</f>
        <v>2700000</v>
      </c>
      <c r="E73" s="184">
        <f>SUM(E74:E75)</f>
        <v>2700</v>
      </c>
    </row>
    <row r="74" spans="1:5" ht="12.75">
      <c r="A74" s="53"/>
      <c r="B74" s="48"/>
      <c r="C74" s="622" t="s">
        <v>83</v>
      </c>
      <c r="D74" s="639">
        <v>2700000</v>
      </c>
      <c r="E74" s="639">
        <f t="shared" si="1"/>
        <v>2700</v>
      </c>
    </row>
    <row r="75" spans="1:5" ht="12.75">
      <c r="A75" s="331"/>
      <c r="B75" s="402"/>
      <c r="C75" s="622" t="s">
        <v>82</v>
      </c>
      <c r="D75" s="639"/>
      <c r="E75" s="639">
        <f t="shared" si="1"/>
        <v>0</v>
      </c>
    </row>
    <row r="76" spans="1:5" ht="12.75">
      <c r="A76" s="53">
        <v>55214</v>
      </c>
      <c r="B76" s="48"/>
      <c r="C76" s="634" t="s">
        <v>1000</v>
      </c>
      <c r="D76" s="810">
        <v>3660000</v>
      </c>
      <c r="E76" s="184">
        <f t="shared" si="1"/>
        <v>3660</v>
      </c>
    </row>
    <row r="77" spans="1:5" ht="12.75">
      <c r="A77" s="331"/>
      <c r="B77" s="402"/>
      <c r="C77" s="622"/>
      <c r="D77" s="639"/>
      <c r="E77" s="639">
        <f t="shared" si="1"/>
        <v>0</v>
      </c>
    </row>
    <row r="78" spans="1:5" ht="12.75">
      <c r="A78" s="53">
        <v>55215</v>
      </c>
      <c r="B78" s="48"/>
      <c r="C78" s="634" t="s">
        <v>1001</v>
      </c>
      <c r="D78" s="810">
        <v>3520000</v>
      </c>
      <c r="E78" s="184">
        <f t="shared" si="1"/>
        <v>3520</v>
      </c>
    </row>
    <row r="79" spans="1:5" ht="12.75">
      <c r="A79" s="331"/>
      <c r="B79" s="402"/>
      <c r="C79" s="622"/>
      <c r="D79" s="639"/>
      <c r="E79" s="639">
        <f>ROUND(D79,-3)/1000</f>
        <v>0</v>
      </c>
    </row>
    <row r="80" spans="1:5" ht="12.75">
      <c r="A80" s="53">
        <v>55217</v>
      </c>
      <c r="B80" s="48"/>
      <c r="C80" s="634" t="s">
        <v>1002</v>
      </c>
      <c r="D80" s="810">
        <v>990000</v>
      </c>
      <c r="E80" s="184">
        <f t="shared" si="1"/>
        <v>990</v>
      </c>
    </row>
    <row r="81" spans="1:5" ht="12.75">
      <c r="A81" s="331"/>
      <c r="B81" s="402"/>
      <c r="C81" s="622"/>
      <c r="D81" s="639"/>
      <c r="E81" s="639">
        <f t="shared" si="1"/>
        <v>0</v>
      </c>
    </row>
    <row r="82" spans="1:5" ht="12.75">
      <c r="A82" s="53">
        <v>55218</v>
      </c>
      <c r="B82" s="48"/>
      <c r="C82" s="634" t="s">
        <v>1003</v>
      </c>
      <c r="D82" s="184">
        <f>SUM(D83:D84)</f>
        <v>500000</v>
      </c>
      <c r="E82" s="184">
        <f t="shared" si="1"/>
        <v>500</v>
      </c>
    </row>
    <row r="83" spans="1:5" ht="12.75">
      <c r="A83" s="53"/>
      <c r="B83" s="48"/>
      <c r="C83" s="622" t="s">
        <v>84</v>
      </c>
      <c r="D83" s="639"/>
      <c r="E83" s="639">
        <f t="shared" si="1"/>
        <v>0</v>
      </c>
    </row>
    <row r="84" spans="1:5" ht="12.75">
      <c r="A84" s="53"/>
      <c r="B84" s="48"/>
      <c r="C84" s="936" t="s">
        <v>955</v>
      </c>
      <c r="D84" s="809">
        <v>500000</v>
      </c>
      <c r="E84" s="639">
        <f t="shared" si="1"/>
        <v>500</v>
      </c>
    </row>
    <row r="85" spans="1:5" ht="12.75">
      <c r="A85" s="53">
        <v>55219</v>
      </c>
      <c r="B85" s="48"/>
      <c r="C85" s="634" t="s">
        <v>1031</v>
      </c>
      <c r="D85" s="184">
        <f>SUM(D86:D88)</f>
        <v>3280000</v>
      </c>
      <c r="E85" s="184">
        <f>SUM(E86:E88)</f>
        <v>3280</v>
      </c>
    </row>
    <row r="86" spans="1:5" ht="12.75">
      <c r="A86" s="331"/>
      <c r="B86" s="402"/>
      <c r="C86" s="936" t="s">
        <v>1181</v>
      </c>
      <c r="D86" s="809">
        <v>280000</v>
      </c>
      <c r="E86" s="639">
        <f t="shared" si="1"/>
        <v>280</v>
      </c>
    </row>
    <row r="87" spans="1:6" ht="12.75">
      <c r="A87" s="331"/>
      <c r="B87" s="402"/>
      <c r="C87" s="627" t="s">
        <v>952</v>
      </c>
      <c r="D87" s="626"/>
      <c r="E87" s="639"/>
      <c r="F87">
        <v>570000</v>
      </c>
    </row>
    <row r="88" spans="1:5" ht="12.75">
      <c r="A88" s="331"/>
      <c r="B88" s="402"/>
      <c r="C88" s="936" t="s">
        <v>949</v>
      </c>
      <c r="D88" s="809">
        <v>3000000</v>
      </c>
      <c r="E88" s="639">
        <f t="shared" si="1"/>
        <v>3000</v>
      </c>
    </row>
    <row r="89" spans="1:5" ht="12.75">
      <c r="A89" s="53">
        <v>5561</v>
      </c>
      <c r="B89" s="48"/>
      <c r="C89" s="634" t="s">
        <v>86</v>
      </c>
      <c r="D89" s="184">
        <v>0</v>
      </c>
      <c r="E89" s="639">
        <f t="shared" si="1"/>
        <v>0</v>
      </c>
    </row>
    <row r="90" spans="1:5" ht="12.75">
      <c r="A90" s="331"/>
      <c r="B90" s="402"/>
      <c r="C90" s="622"/>
      <c r="D90" s="639"/>
      <c r="E90" s="639">
        <f t="shared" si="1"/>
        <v>0</v>
      </c>
    </row>
    <row r="91" spans="1:5" ht="12.75">
      <c r="A91" s="385">
        <v>56111</v>
      </c>
      <c r="B91" s="48"/>
      <c r="C91" s="53" t="s">
        <v>148</v>
      </c>
      <c r="D91" s="184">
        <f>D62*0.05</f>
        <v>1554</v>
      </c>
      <c r="E91" s="810">
        <f>E62*0.05</f>
        <v>1.55</v>
      </c>
    </row>
    <row r="92" spans="1:5" ht="12.75">
      <c r="A92" s="385"/>
      <c r="B92" s="48"/>
      <c r="C92" s="53" t="s">
        <v>149</v>
      </c>
      <c r="D92" s="184">
        <v>5647000</v>
      </c>
      <c r="E92" s="810">
        <f>(E57+E58+E60+E61+E63+E67+E68+E71+E73+E76+E78+E80+E82+E85+E89)*0.27</f>
        <v>5647.05</v>
      </c>
    </row>
    <row r="93" spans="1:5" ht="12.75">
      <c r="A93" s="53">
        <v>56211</v>
      </c>
      <c r="B93" s="48"/>
      <c r="C93" s="53" t="s">
        <v>1006</v>
      </c>
      <c r="D93" s="184">
        <v>250000</v>
      </c>
      <c r="E93" s="184">
        <v>250</v>
      </c>
    </row>
    <row r="94" spans="1:5" ht="12.75">
      <c r="A94" s="53"/>
      <c r="B94" s="48"/>
      <c r="C94" s="331" t="s">
        <v>954</v>
      </c>
      <c r="D94" s="639"/>
      <c r="E94" s="639">
        <f t="shared" si="1"/>
        <v>0</v>
      </c>
    </row>
    <row r="95" spans="1:5" ht="12.75">
      <c r="A95" s="53">
        <v>56319</v>
      </c>
      <c r="B95" s="48"/>
      <c r="C95" s="634" t="s">
        <v>203</v>
      </c>
      <c r="D95" s="184">
        <f>SUM(D96:D97)</f>
        <v>65000</v>
      </c>
      <c r="E95" s="184">
        <f>SUM(E96:E97)</f>
        <v>65</v>
      </c>
    </row>
    <row r="96" spans="1:5" ht="12.75">
      <c r="A96" s="53"/>
      <c r="B96" s="48"/>
      <c r="C96" s="622" t="s">
        <v>118</v>
      </c>
      <c r="D96" s="639"/>
      <c r="E96" s="639">
        <f t="shared" si="1"/>
        <v>0</v>
      </c>
    </row>
    <row r="97" spans="1:5" ht="12.75">
      <c r="A97" s="53"/>
      <c r="B97" s="48"/>
      <c r="C97" s="622" t="s">
        <v>1026</v>
      </c>
      <c r="D97" s="639">
        <v>65000</v>
      </c>
      <c r="E97" s="639">
        <f t="shared" si="1"/>
        <v>65</v>
      </c>
    </row>
    <row r="98" spans="1:5" ht="12.75">
      <c r="A98" s="53">
        <v>5642</v>
      </c>
      <c r="B98" s="48"/>
      <c r="C98" s="634" t="s">
        <v>440</v>
      </c>
      <c r="D98" s="809">
        <v>0</v>
      </c>
      <c r="E98" s="809">
        <f t="shared" si="1"/>
        <v>0</v>
      </c>
    </row>
    <row r="99" spans="1:5" ht="12.75">
      <c r="A99" s="53"/>
      <c r="B99" s="48"/>
      <c r="C99" s="622" t="s">
        <v>1182</v>
      </c>
      <c r="D99" s="809">
        <v>0</v>
      </c>
      <c r="E99" s="809">
        <f t="shared" si="1"/>
        <v>0</v>
      </c>
    </row>
    <row r="100" spans="1:5" ht="12.75">
      <c r="A100" s="53">
        <v>57211</v>
      </c>
      <c r="B100" s="48"/>
      <c r="C100" s="634" t="s">
        <v>1207</v>
      </c>
      <c r="D100" s="810">
        <f>D101</f>
        <v>1927800</v>
      </c>
      <c r="E100" s="184">
        <f>SUM(E101)</f>
        <v>1928</v>
      </c>
    </row>
    <row r="101" spans="1:5" ht="12.75">
      <c r="A101" s="53"/>
      <c r="B101" s="48"/>
      <c r="C101" s="634" t="s">
        <v>925</v>
      </c>
      <c r="D101" s="639">
        <f>(D28+'Polg. Hiv'!Z33)*0.357</f>
        <v>1927800</v>
      </c>
      <c r="E101" s="639">
        <f t="shared" si="1"/>
        <v>1928</v>
      </c>
    </row>
    <row r="102" spans="1:5" ht="12.75">
      <c r="A102" s="53">
        <v>57213</v>
      </c>
      <c r="B102" s="48"/>
      <c r="C102" s="53" t="s">
        <v>798</v>
      </c>
      <c r="D102">
        <v>1832000</v>
      </c>
      <c r="E102" s="184">
        <v>1832</v>
      </c>
    </row>
    <row r="103" spans="1:5" ht="12.75">
      <c r="A103" s="53">
        <v>57219</v>
      </c>
      <c r="B103" s="48"/>
      <c r="C103" s="53" t="s">
        <v>89</v>
      </c>
      <c r="D103" s="184">
        <f>SUM(D104:D106)</f>
        <v>361732</v>
      </c>
      <c r="E103" s="184">
        <f>SUM(E104:E106)</f>
        <v>362</v>
      </c>
    </row>
    <row r="104" spans="1:5" ht="12.75">
      <c r="A104" s="53"/>
      <c r="B104" s="48"/>
      <c r="C104" s="937" t="s">
        <v>953</v>
      </c>
      <c r="D104" s="809">
        <v>125584</v>
      </c>
      <c r="E104" s="639">
        <f t="shared" si="1"/>
        <v>126</v>
      </c>
    </row>
    <row r="105" spans="1:5" ht="12.75">
      <c r="A105" s="53"/>
      <c r="B105" s="48"/>
      <c r="C105" s="937" t="s">
        <v>854</v>
      </c>
      <c r="D105" s="809">
        <v>34788</v>
      </c>
      <c r="E105" s="639">
        <f t="shared" si="1"/>
        <v>35</v>
      </c>
    </row>
    <row r="106" spans="1:5" ht="12.75">
      <c r="A106" s="53"/>
      <c r="B106" s="48"/>
      <c r="C106" s="937" t="s">
        <v>1183</v>
      </c>
      <c r="D106" s="809">
        <v>201360</v>
      </c>
      <c r="E106" s="639">
        <f t="shared" si="1"/>
        <v>201</v>
      </c>
    </row>
    <row r="107" spans="1:5" ht="12.75">
      <c r="A107" s="53"/>
      <c r="B107" s="48"/>
      <c r="C107" s="53"/>
      <c r="D107" s="639"/>
      <c r="E107" s="639">
        <f t="shared" si="1"/>
        <v>0</v>
      </c>
    </row>
    <row r="108" spans="1:5" ht="15.75">
      <c r="A108" s="938" t="s">
        <v>162</v>
      </c>
      <c r="B108" s="939"/>
      <c r="C108" s="939"/>
      <c r="D108" s="940">
        <f>D54+D56+D59+D64+D66+D69+D71+D73+D76+D78+D80+D82+D85+D89+D91+D93+D95+D98+D100+D102+D103+D92</f>
        <v>31172343</v>
      </c>
      <c r="E108" s="940">
        <f>E54+E56+E59+E64+E66+E69+E71+E73+E76+E78+E80+E82+E85+E89+E91+E93+E95+E98+E100+E103+E102+E92</f>
        <v>31171.6</v>
      </c>
    </row>
    <row r="109" spans="1:5" ht="15.75">
      <c r="A109" s="938"/>
      <c r="B109" s="939"/>
      <c r="C109" s="939"/>
      <c r="D109" s="975"/>
      <c r="E109" s="639"/>
    </row>
    <row r="112" spans="1:5" ht="12.75">
      <c r="A112">
        <v>91111</v>
      </c>
      <c r="C112" t="s">
        <v>556</v>
      </c>
      <c r="D112">
        <v>150000</v>
      </c>
      <c r="E112" s="10">
        <v>150</v>
      </c>
    </row>
    <row r="113" ht="12.75">
      <c r="C113" t="s">
        <v>557</v>
      </c>
    </row>
  </sheetData>
  <sheetProtection/>
  <mergeCells count="2">
    <mergeCell ref="A5:E5"/>
    <mergeCell ref="A51:D5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2:G115"/>
  <sheetViews>
    <sheetView view="pageBreakPreview" zoomScaleSheetLayoutView="100" zoomScalePageLayoutView="0" workbookViewId="0" topLeftCell="A7">
      <selection activeCell="C104" sqref="C104"/>
    </sheetView>
  </sheetViews>
  <sheetFormatPr defaultColWidth="9.140625" defaultRowHeight="12.75"/>
  <cols>
    <col min="1" max="1" width="10.57421875" style="0" customWidth="1"/>
    <col min="2" max="2" width="63.28125" style="0" bestFit="1" customWidth="1"/>
    <col min="3" max="3" width="14.28125" style="0" customWidth="1"/>
    <col min="4" max="4" width="11.28125" style="0" customWidth="1"/>
    <col min="5" max="5" width="12.28125" style="0" customWidth="1"/>
    <col min="6" max="6" width="12.7109375" style="0" customWidth="1"/>
  </cols>
  <sheetData>
    <row r="2" spans="1:4" ht="15.75">
      <c r="A2" s="378"/>
      <c r="B2" s="393" t="s">
        <v>174</v>
      </c>
      <c r="C2" s="387"/>
      <c r="D2" s="378"/>
    </row>
    <row r="3" spans="1:4" ht="15.75">
      <c r="A3" s="378"/>
      <c r="B3" s="393" t="s">
        <v>175</v>
      </c>
      <c r="C3" s="387"/>
      <c r="D3" s="378"/>
    </row>
    <row r="4" spans="1:4" ht="15">
      <c r="A4" s="378"/>
      <c r="B4" s="378"/>
      <c r="C4" s="387"/>
      <c r="D4" s="378"/>
    </row>
    <row r="5" spans="1:4" ht="15">
      <c r="A5" s="1252" t="s">
        <v>163</v>
      </c>
      <c r="B5" s="1252"/>
      <c r="C5" s="1252"/>
      <c r="D5" s="1252"/>
    </row>
    <row r="6" spans="1:4" ht="15">
      <c r="A6" s="389"/>
      <c r="B6" s="378"/>
      <c r="C6" s="387"/>
      <c r="D6" s="387" t="s">
        <v>29</v>
      </c>
    </row>
    <row r="7" spans="1:4" ht="15">
      <c r="A7" s="389"/>
      <c r="B7" s="378"/>
      <c r="C7" s="387"/>
      <c r="D7" s="387"/>
    </row>
    <row r="8" spans="1:6" ht="15">
      <c r="A8" s="310" t="s">
        <v>1497</v>
      </c>
      <c r="B8" s="310" t="s">
        <v>1037</v>
      </c>
      <c r="C8" s="217"/>
      <c r="D8" s="217"/>
      <c r="E8" s="20" t="s">
        <v>1313</v>
      </c>
      <c r="F8" s="10">
        <v>841133</v>
      </c>
    </row>
    <row r="9" spans="1:7" ht="12.75">
      <c r="A9" s="331">
        <v>511111</v>
      </c>
      <c r="B9" s="331" t="s">
        <v>30</v>
      </c>
      <c r="C9" s="626">
        <f>'Polg. Hiv'!D9-'841125-115-Elsőfokú ép. hatóság'!C11-'841133-adó beszedése'!C10</f>
        <v>63550400</v>
      </c>
      <c r="D9" s="626">
        <f>ROUND(C9,-3)/1000</f>
        <v>63550</v>
      </c>
      <c r="E9" s="8">
        <f>'841125-115-Elsőfokú ép. hatóság'!E11</f>
        <v>2953</v>
      </c>
      <c r="F9" s="8">
        <f>'841133-adó beszedése'!E10</f>
        <v>4994</v>
      </c>
      <c r="G9" s="8">
        <f>D9+E9+F9</f>
        <v>71497</v>
      </c>
    </row>
    <row r="10" spans="1:7" ht="12.75">
      <c r="A10" s="331">
        <v>511121</v>
      </c>
      <c r="B10" s="331" t="s">
        <v>31</v>
      </c>
      <c r="C10" s="626">
        <f>'Polg. Hiv'!D10-'841133-adó beszedése'!C11-'841125-115-Elsőfokú ép. hatóság'!C12</f>
        <v>878100</v>
      </c>
      <c r="D10" s="626">
        <f>ROUND(C10,-3)/1000</f>
        <v>878</v>
      </c>
      <c r="E10" s="8">
        <f>'841125-115-Elsőfokú ép. hatóság'!E12</f>
        <v>343</v>
      </c>
      <c r="F10" s="8">
        <f>'841133-adó beszedése'!E11</f>
        <v>241</v>
      </c>
      <c r="G10" s="8">
        <f>D10+E10+F10</f>
        <v>1462</v>
      </c>
    </row>
    <row r="11" spans="1:7" ht="45" customHeight="1">
      <c r="A11" s="331"/>
      <c r="B11" s="642" t="s">
        <v>510</v>
      </c>
      <c r="C11" s="626"/>
      <c r="D11" s="626">
        <f aca="true" t="shared" si="0" ref="D11:D49">ROUND(C11,-3)/1000</f>
        <v>0</v>
      </c>
      <c r="G11" s="8">
        <f>D11+E11+F11</f>
        <v>0</v>
      </c>
    </row>
    <row r="12" spans="1:7" ht="12.75">
      <c r="A12" s="331">
        <v>511131</v>
      </c>
      <c r="B12" s="331" t="s">
        <v>33</v>
      </c>
      <c r="C12" s="626">
        <f>'Polg. Hiv'!D12-'841125-115-Elsőfokú ép. hatóság'!C13-'841133-adó beszedése'!C12</f>
        <v>3988900</v>
      </c>
      <c r="D12" s="626">
        <f t="shared" si="0"/>
        <v>3989</v>
      </c>
      <c r="E12" s="8">
        <f>'841125-115-Elsőfokú ép. hatóság'!E13</f>
        <v>626</v>
      </c>
      <c r="F12" s="8">
        <f>'841133-adó beszedése'!E12</f>
        <v>0</v>
      </c>
      <c r="G12" s="8">
        <f>D12+E12+F12</f>
        <v>4615</v>
      </c>
    </row>
    <row r="13" spans="1:7" ht="12.75">
      <c r="A13" s="331">
        <v>5111411</v>
      </c>
      <c r="B13" s="418" t="s">
        <v>90</v>
      </c>
      <c r="C13" s="626">
        <f>Bérek2013!T38</f>
        <v>0</v>
      </c>
      <c r="D13" s="626">
        <f t="shared" si="0"/>
        <v>0</v>
      </c>
      <c r="G13" s="8">
        <f>D13+E13+F13</f>
        <v>0</v>
      </c>
    </row>
    <row r="14" spans="1:4" ht="12.75">
      <c r="A14" s="331">
        <v>5111412</v>
      </c>
      <c r="B14" s="418" t="s">
        <v>1476</v>
      </c>
      <c r="C14" s="626">
        <f>'Polg. Hiv'!D14</f>
        <v>173700</v>
      </c>
      <c r="D14" s="626">
        <f t="shared" si="0"/>
        <v>174</v>
      </c>
    </row>
    <row r="15" spans="1:4" ht="12.75">
      <c r="A15" s="331">
        <v>511116</v>
      </c>
      <c r="B15" s="418" t="s">
        <v>368</v>
      </c>
      <c r="C15" s="626">
        <f>'Polg. Hiv'!D15</f>
        <v>6540000</v>
      </c>
      <c r="D15" s="626">
        <f t="shared" si="0"/>
        <v>6540</v>
      </c>
    </row>
    <row r="16" spans="1:4" ht="13.5" thickBot="1">
      <c r="A16" s="646"/>
      <c r="B16" s="648" t="s">
        <v>1367</v>
      </c>
      <c r="C16" s="965">
        <f>Bérek2013!Q44</f>
        <v>2088000</v>
      </c>
      <c r="D16" s="966">
        <f t="shared" si="0"/>
        <v>2088</v>
      </c>
    </row>
    <row r="17" spans="1:4" ht="13.5" thickBot="1">
      <c r="A17" s="643">
        <v>511</v>
      </c>
      <c r="B17" s="967" t="s">
        <v>399</v>
      </c>
      <c r="C17" s="968">
        <f>SUM(C9:C16)</f>
        <v>77219100</v>
      </c>
      <c r="D17" s="969">
        <f t="shared" si="0"/>
        <v>77219</v>
      </c>
    </row>
    <row r="18" spans="1:4" ht="13.5" thickBot="1">
      <c r="A18" s="331">
        <v>512172</v>
      </c>
      <c r="B18" s="418" t="s">
        <v>1237</v>
      </c>
      <c r="C18" s="965"/>
      <c r="D18" s="965">
        <f t="shared" si="0"/>
        <v>0</v>
      </c>
    </row>
    <row r="19" spans="1:4" ht="13.5" thickBot="1">
      <c r="A19" s="643">
        <v>512</v>
      </c>
      <c r="B19" s="967" t="s">
        <v>1480</v>
      </c>
      <c r="C19" s="968">
        <f>SUM(C18)</f>
        <v>0</v>
      </c>
      <c r="D19" s="969">
        <f t="shared" si="0"/>
        <v>0</v>
      </c>
    </row>
    <row r="20" spans="1:4" ht="12.75">
      <c r="A20" s="646">
        <v>51311</v>
      </c>
      <c r="B20" s="648" t="s">
        <v>1014</v>
      </c>
      <c r="C20" s="965"/>
      <c r="D20" s="862">
        <f t="shared" si="0"/>
        <v>0</v>
      </c>
    </row>
    <row r="21" spans="1:4" ht="12.75">
      <c r="A21" s="331">
        <v>513121</v>
      </c>
      <c r="B21" s="331" t="s">
        <v>394</v>
      </c>
      <c r="C21" s="626">
        <f>Bérek2013!W38</f>
        <v>2000000</v>
      </c>
      <c r="D21" s="626">
        <f t="shared" si="0"/>
        <v>2000</v>
      </c>
    </row>
    <row r="22" spans="1:4" ht="12.75">
      <c r="A22" s="331"/>
      <c r="B22" s="331"/>
      <c r="C22" s="626"/>
      <c r="D22" s="626">
        <f t="shared" si="0"/>
        <v>0</v>
      </c>
    </row>
    <row r="23" spans="1:4" ht="12.75">
      <c r="A23" s="331"/>
      <c r="B23" s="331"/>
      <c r="C23" s="626"/>
      <c r="D23" s="626">
        <f t="shared" si="0"/>
        <v>0</v>
      </c>
    </row>
    <row r="24" spans="1:4" ht="12.75">
      <c r="A24" s="331">
        <v>513131</v>
      </c>
      <c r="B24" s="331" t="s">
        <v>35</v>
      </c>
      <c r="C24" s="626">
        <f>'Polg. Hiv'!D22</f>
        <v>100000</v>
      </c>
      <c r="D24" s="626">
        <f t="shared" si="0"/>
        <v>100</v>
      </c>
    </row>
    <row r="25" spans="1:4" ht="12.75">
      <c r="A25" s="331">
        <v>5131911</v>
      </c>
      <c r="B25" s="331" t="s">
        <v>1477</v>
      </c>
      <c r="C25" s="639"/>
      <c r="D25" s="626">
        <f t="shared" si="0"/>
        <v>0</v>
      </c>
    </row>
    <row r="26" spans="1:4" ht="13.5" thickBot="1">
      <c r="A26" s="331">
        <v>5131912</v>
      </c>
      <c r="B26" s="331" t="s">
        <v>1307</v>
      </c>
      <c r="C26" s="971">
        <v>200000</v>
      </c>
      <c r="D26" s="966">
        <f t="shared" si="0"/>
        <v>200</v>
      </c>
    </row>
    <row r="27" spans="1:4" ht="13.5" thickBot="1">
      <c r="A27" s="643">
        <v>513</v>
      </c>
      <c r="B27" s="970" t="s">
        <v>1481</v>
      </c>
      <c r="C27" s="972">
        <f>SUM(C20:C26)</f>
        <v>2300000</v>
      </c>
      <c r="D27" s="969">
        <f t="shared" si="0"/>
        <v>2300</v>
      </c>
    </row>
    <row r="28" spans="1:5" ht="12.75">
      <c r="A28" s="331">
        <v>514131</v>
      </c>
      <c r="B28" s="331" t="s">
        <v>39</v>
      </c>
      <c r="C28" s="862">
        <f>'Polg. Hiv'!D26-'841125-115-Elsőfokú ép. hatóság'!C23</f>
        <v>367200</v>
      </c>
      <c r="D28" s="862">
        <f t="shared" si="0"/>
        <v>367</v>
      </c>
      <c r="E28" s="8">
        <f>'841125-115-Elsőfokú ép. hatóság'!E23</f>
        <v>121</v>
      </c>
    </row>
    <row r="29" spans="1:4" ht="12.75">
      <c r="A29" s="331"/>
      <c r="B29" s="331" t="s">
        <v>134</v>
      </c>
      <c r="C29" s="626"/>
      <c r="D29" s="626">
        <f t="shared" si="0"/>
        <v>0</v>
      </c>
    </row>
    <row r="30" spans="1:7" ht="12.75">
      <c r="A30" s="331">
        <v>514141</v>
      </c>
      <c r="B30" s="331" t="s">
        <v>132</v>
      </c>
      <c r="C30" s="626">
        <f>'Polg. Hiv'!D28-'841125-115-Elsőfokú ép. hatóság'!C24-'841133-adó beszedése'!C19</f>
        <v>4800000</v>
      </c>
      <c r="D30" s="626">
        <f t="shared" si="0"/>
        <v>4800</v>
      </c>
      <c r="E30" s="8">
        <f>'841125-115-Elsőfokú ép. hatóság'!E24</f>
        <v>150</v>
      </c>
      <c r="F30" s="8">
        <f>'841133-adó beszedése'!E19</f>
        <v>450</v>
      </c>
      <c r="G30" s="8">
        <f>SUM(D30:F30)</f>
        <v>5400</v>
      </c>
    </row>
    <row r="31" spans="1:4" ht="13.5" thickBot="1">
      <c r="A31" s="331">
        <v>514191</v>
      </c>
      <c r="B31" s="331" t="s">
        <v>115</v>
      </c>
      <c r="C31" s="626">
        <f>'Polg. Hiv'!D29</f>
        <v>57975</v>
      </c>
      <c r="D31" s="966">
        <f t="shared" si="0"/>
        <v>58</v>
      </c>
    </row>
    <row r="32" spans="1:4" ht="13.5" thickBot="1">
      <c r="A32" s="643">
        <v>514</v>
      </c>
      <c r="B32" s="650" t="s">
        <v>1482</v>
      </c>
      <c r="C32" s="962">
        <f>SUM(C28:C31)</f>
        <v>5225175</v>
      </c>
      <c r="D32" s="969">
        <f t="shared" si="0"/>
        <v>5225</v>
      </c>
    </row>
    <row r="33" spans="1:4" ht="12.75">
      <c r="A33" s="331">
        <v>5151511</v>
      </c>
      <c r="B33" s="622" t="s">
        <v>1478</v>
      </c>
      <c r="C33" s="639"/>
      <c r="D33" s="862">
        <f t="shared" si="0"/>
        <v>0</v>
      </c>
    </row>
    <row r="34" spans="1:4" ht="12.75">
      <c r="A34" s="413"/>
      <c r="B34" s="413" t="s">
        <v>91</v>
      </c>
      <c r="C34" s="414"/>
      <c r="D34" s="626">
        <f t="shared" si="0"/>
        <v>0</v>
      </c>
    </row>
    <row r="35" spans="1:4" ht="13.5" thickBot="1">
      <c r="A35" s="331">
        <v>5151512</v>
      </c>
      <c r="B35" s="622" t="s">
        <v>1479</v>
      </c>
      <c r="C35" s="971"/>
      <c r="D35" s="966">
        <f t="shared" si="0"/>
        <v>0</v>
      </c>
    </row>
    <row r="36" spans="1:4" ht="13.5" thickBot="1">
      <c r="A36" s="643">
        <v>515</v>
      </c>
      <c r="B36" s="973" t="s">
        <v>1484</v>
      </c>
      <c r="C36" s="972">
        <f>SUM(C33:C35)</f>
        <v>0</v>
      </c>
      <c r="D36" s="969">
        <f t="shared" si="0"/>
        <v>0</v>
      </c>
    </row>
    <row r="37" spans="1:4" ht="12.75">
      <c r="A37" s="331">
        <v>516111</v>
      </c>
      <c r="B37" s="331" t="s">
        <v>1474</v>
      </c>
      <c r="C37" s="727"/>
      <c r="D37" s="862">
        <f t="shared" si="0"/>
        <v>0</v>
      </c>
    </row>
    <row r="38" spans="1:4" ht="12.75">
      <c r="A38" s="331"/>
      <c r="B38" s="331" t="s">
        <v>1475</v>
      </c>
      <c r="C38" s="639"/>
      <c r="D38" s="626">
        <f t="shared" si="0"/>
        <v>0</v>
      </c>
    </row>
    <row r="39" spans="1:4" ht="13.5" thickBot="1">
      <c r="A39" s="651"/>
      <c r="B39" s="651" t="s">
        <v>730</v>
      </c>
      <c r="C39" s="974">
        <v>1080000</v>
      </c>
      <c r="D39" s="966">
        <v>1080</v>
      </c>
    </row>
    <row r="40" spans="1:4" ht="13.5" thickBot="1">
      <c r="A40" s="643">
        <v>516</v>
      </c>
      <c r="B40" s="970" t="s">
        <v>1485</v>
      </c>
      <c r="C40" s="972">
        <f>SUM(C37:C39)</f>
        <v>1080000</v>
      </c>
      <c r="D40" s="969">
        <f t="shared" si="0"/>
        <v>1080</v>
      </c>
    </row>
    <row r="41" spans="1:4" ht="12.75">
      <c r="A41" s="331">
        <v>52213</v>
      </c>
      <c r="B41" s="331" t="s">
        <v>979</v>
      </c>
      <c r="C41" s="727"/>
      <c r="D41" s="862">
        <f t="shared" si="0"/>
        <v>0</v>
      </c>
    </row>
    <row r="42" spans="1:4" ht="12.75">
      <c r="A42" s="653">
        <v>5221</v>
      </c>
      <c r="B42" s="622" t="s">
        <v>120</v>
      </c>
      <c r="C42" s="624"/>
      <c r="D42" s="626">
        <f t="shared" si="0"/>
        <v>0</v>
      </c>
    </row>
    <row r="43" spans="1:4" ht="12.75">
      <c r="A43" s="386">
        <v>522113</v>
      </c>
      <c r="B43" s="331" t="s">
        <v>1512</v>
      </c>
      <c r="C43" s="624">
        <f>'Polg. Hiv'!D41</f>
        <v>150000</v>
      </c>
      <c r="D43" s="626">
        <f t="shared" si="0"/>
        <v>150</v>
      </c>
    </row>
    <row r="44" spans="1:4" ht="12.75">
      <c r="A44" s="386">
        <v>522114</v>
      </c>
      <c r="B44" s="331" t="s">
        <v>116</v>
      </c>
      <c r="C44" s="624"/>
      <c r="D44" s="626">
        <f t="shared" si="0"/>
        <v>0</v>
      </c>
    </row>
    <row r="45" spans="1:4" ht="12.75">
      <c r="A45" s="386"/>
      <c r="B45" s="331"/>
      <c r="C45" s="624"/>
      <c r="D45" s="626">
        <f t="shared" si="0"/>
        <v>0</v>
      </c>
    </row>
    <row r="46" spans="1:4" ht="12.75">
      <c r="A46" s="331">
        <v>52218</v>
      </c>
      <c r="B46" s="331" t="s">
        <v>795</v>
      </c>
      <c r="C46" s="329">
        <f>Bérek2013!Y45+Bérek2013!Z45</f>
        <v>1613280</v>
      </c>
      <c r="D46" s="626">
        <f t="shared" si="0"/>
        <v>1613</v>
      </c>
    </row>
    <row r="47" spans="1:4" ht="12.75">
      <c r="A47" s="331"/>
      <c r="B47" s="331" t="s">
        <v>133</v>
      </c>
      <c r="C47" s="624"/>
      <c r="D47" s="626">
        <f t="shared" si="0"/>
        <v>0</v>
      </c>
    </row>
    <row r="48" spans="1:4" ht="13.5" thickBot="1">
      <c r="A48" s="331">
        <v>52219</v>
      </c>
      <c r="B48" s="331" t="s">
        <v>117</v>
      </c>
      <c r="C48" s="624">
        <f>Bérek2013!Y46</f>
        <v>0</v>
      </c>
      <c r="D48" s="626">
        <f t="shared" si="0"/>
        <v>0</v>
      </c>
    </row>
    <row r="49" spans="1:4" ht="13.5" thickBot="1">
      <c r="A49" s="643">
        <v>52</v>
      </c>
      <c r="B49" s="650" t="s">
        <v>1486</v>
      </c>
      <c r="C49" s="962">
        <f>SUM(C41:C48)</f>
        <v>1763280</v>
      </c>
      <c r="D49" s="179">
        <f t="shared" si="0"/>
        <v>1763</v>
      </c>
    </row>
    <row r="50" spans="1:7" ht="16.5" thickBot="1">
      <c r="A50" s="963" t="s">
        <v>1503</v>
      </c>
      <c r="B50" s="964"/>
      <c r="C50" s="440">
        <f>C17+C19+C27+C32+C36+C40+C49</f>
        <v>87587555</v>
      </c>
      <c r="D50" s="440">
        <f>D17+D19+D27+D32+D36+D40+D49</f>
        <v>87587</v>
      </c>
      <c r="E50" s="11">
        <f>SUM(E9:E49)</f>
        <v>4193</v>
      </c>
      <c r="F50" s="11">
        <f>SUM(F9:F49)</f>
        <v>5685</v>
      </c>
      <c r="G50" s="11">
        <f>D50+E50+F50</f>
        <v>97465</v>
      </c>
    </row>
    <row r="51" spans="1:4" ht="15">
      <c r="A51" s="310"/>
      <c r="B51" s="310"/>
      <c r="C51" s="217"/>
      <c r="D51" s="217"/>
    </row>
    <row r="52" spans="1:4" ht="13.5" thickBot="1">
      <c r="A52" s="53">
        <v>53112</v>
      </c>
      <c r="B52" s="53" t="s">
        <v>1212</v>
      </c>
      <c r="C52" s="639"/>
      <c r="D52" s="184">
        <f>(D17+D19+D49+D40+D21)*0.27</f>
        <v>22156.74</v>
      </c>
    </row>
    <row r="53" spans="1:7" ht="16.5" thickBot="1">
      <c r="A53" s="1255" t="s">
        <v>992</v>
      </c>
      <c r="B53" s="1256"/>
      <c r="C53" s="1256"/>
      <c r="D53" s="439">
        <f>+D52</f>
        <v>22156.74</v>
      </c>
      <c r="E53" s="11">
        <f>'841125-115-Elsőfokú ép. hatóság'!E31</f>
        <v>1058.94</v>
      </c>
      <c r="F53" s="11">
        <f>'841133-adó beszedése'!E26</f>
        <v>1413.45</v>
      </c>
      <c r="G53" s="11">
        <f>D53+E53+F53</f>
        <v>24629.13</v>
      </c>
    </row>
    <row r="54" spans="1:4" ht="15">
      <c r="A54" s="437"/>
      <c r="B54" s="437"/>
      <c r="C54" s="436"/>
      <c r="D54" s="436"/>
    </row>
    <row r="55" spans="1:4" ht="12.75">
      <c r="A55" s="331"/>
      <c r="B55" s="331"/>
      <c r="C55" s="639"/>
      <c r="D55" s="639"/>
    </row>
    <row r="56" spans="1:4" ht="12.75">
      <c r="A56" s="53">
        <v>5421</v>
      </c>
      <c r="B56" s="634" t="s">
        <v>200</v>
      </c>
      <c r="C56" s="639">
        <f>C57</f>
        <v>0</v>
      </c>
      <c r="D56" s="184"/>
    </row>
    <row r="57" spans="1:4" ht="12.75">
      <c r="A57" s="53"/>
      <c r="B57" s="622" t="s">
        <v>81</v>
      </c>
      <c r="C57" s="639"/>
      <c r="D57" s="639"/>
    </row>
    <row r="58" spans="1:4" ht="12.75">
      <c r="A58" s="53">
        <v>5431</v>
      </c>
      <c r="B58" s="634" t="s">
        <v>993</v>
      </c>
      <c r="C58" s="184">
        <f>SUM(C59:C60)</f>
        <v>2047225</v>
      </c>
      <c r="D58" s="184">
        <f>SUM(D59:D60)</f>
        <v>2047</v>
      </c>
    </row>
    <row r="59" spans="1:4" ht="12.75">
      <c r="A59" s="53"/>
      <c r="B59" s="936" t="s">
        <v>951</v>
      </c>
      <c r="C59" s="1067">
        <v>2000000</v>
      </c>
      <c r="D59" s="639">
        <f>ROUND(C59,-3)/1000</f>
        <v>2000</v>
      </c>
    </row>
    <row r="60" spans="1:4" ht="12.75">
      <c r="A60" s="53"/>
      <c r="B60" s="936" t="s">
        <v>956</v>
      </c>
      <c r="C60" s="809">
        <v>47225</v>
      </c>
      <c r="D60" s="639">
        <f aca="true" t="shared" si="1" ref="D60:D109">ROUND(C60,-3)/1000</f>
        <v>47</v>
      </c>
    </row>
    <row r="61" spans="1:4" ht="12.75">
      <c r="A61" s="53">
        <v>5441</v>
      </c>
      <c r="B61" s="53" t="s">
        <v>201</v>
      </c>
      <c r="C61" s="184">
        <f>SUM(C62:C65)</f>
        <v>464612</v>
      </c>
      <c r="D61" s="184">
        <f>SUM(D62:D65)</f>
        <v>464</v>
      </c>
    </row>
    <row r="62" spans="1:4" ht="12.75">
      <c r="A62" s="53"/>
      <c r="B62" s="936" t="s">
        <v>946</v>
      </c>
      <c r="C62" s="809">
        <v>121981</v>
      </c>
      <c r="D62" s="639">
        <f t="shared" si="1"/>
        <v>122</v>
      </c>
    </row>
    <row r="63" spans="1:4" ht="12.75">
      <c r="A63" s="53"/>
      <c r="B63" s="936" t="s">
        <v>947</v>
      </c>
      <c r="C63" s="809">
        <v>52471</v>
      </c>
      <c r="D63" s="639">
        <f t="shared" si="1"/>
        <v>52</v>
      </c>
    </row>
    <row r="64" spans="1:4" ht="12.75">
      <c r="A64" s="53"/>
      <c r="B64" s="936" t="s">
        <v>948</v>
      </c>
      <c r="C64" s="809">
        <v>31080</v>
      </c>
      <c r="D64" s="639">
        <f t="shared" si="1"/>
        <v>31</v>
      </c>
    </row>
    <row r="65" spans="1:4" ht="12.75">
      <c r="A65" s="53"/>
      <c r="B65" s="936" t="s">
        <v>950</v>
      </c>
      <c r="C65" s="809">
        <v>259080</v>
      </c>
      <c r="D65" s="639">
        <f t="shared" si="1"/>
        <v>259</v>
      </c>
    </row>
    <row r="66" spans="1:4" ht="12.75">
      <c r="A66" s="53">
        <v>5471</v>
      </c>
      <c r="B66" s="53" t="s">
        <v>995</v>
      </c>
      <c r="C66" s="184">
        <f>SUM(C67)</f>
        <v>140000</v>
      </c>
      <c r="D66" s="184">
        <f t="shared" si="1"/>
        <v>140</v>
      </c>
    </row>
    <row r="67" spans="1:4" ht="12.75">
      <c r="A67" s="53"/>
      <c r="B67" s="53"/>
      <c r="C67" s="639">
        <v>140000</v>
      </c>
      <c r="D67" s="639">
        <f t="shared" si="1"/>
        <v>140</v>
      </c>
    </row>
    <row r="68" spans="1:4" ht="12.75">
      <c r="A68" s="53">
        <v>5491</v>
      </c>
      <c r="B68" s="634" t="s">
        <v>996</v>
      </c>
      <c r="C68" s="184">
        <f>SUM(C69:C70)</f>
        <v>425000</v>
      </c>
      <c r="D68" s="184">
        <f t="shared" si="1"/>
        <v>425</v>
      </c>
    </row>
    <row r="69" spans="1:4" ht="12.75">
      <c r="A69" s="53"/>
      <c r="B69" s="622" t="s">
        <v>87</v>
      </c>
      <c r="C69" s="809">
        <v>65000</v>
      </c>
      <c r="D69" s="639">
        <f t="shared" si="1"/>
        <v>65</v>
      </c>
    </row>
    <row r="70" spans="1:4" ht="12.75">
      <c r="A70" s="331"/>
      <c r="B70" s="622" t="s">
        <v>104</v>
      </c>
      <c r="C70" s="639">
        <v>360000</v>
      </c>
      <c r="D70" s="639">
        <f t="shared" si="1"/>
        <v>360</v>
      </c>
    </row>
    <row r="71" spans="1:4" ht="12.75">
      <c r="A71" s="53">
        <v>55111</v>
      </c>
      <c r="B71" s="634" t="s">
        <v>998</v>
      </c>
      <c r="C71" s="184">
        <f>SUM(C72)</f>
        <v>0</v>
      </c>
      <c r="D71" s="639">
        <f t="shared" si="1"/>
        <v>0</v>
      </c>
    </row>
    <row r="72" spans="1:4" ht="12.75">
      <c r="A72" s="53"/>
      <c r="B72" s="622" t="s">
        <v>852</v>
      </c>
      <c r="C72" s="639"/>
      <c r="D72" s="639">
        <f t="shared" si="1"/>
        <v>0</v>
      </c>
    </row>
    <row r="73" spans="1:4" ht="12.75">
      <c r="A73" s="53">
        <v>55119</v>
      </c>
      <c r="B73" s="634" t="s">
        <v>999</v>
      </c>
      <c r="C73" s="184">
        <f>SUM(C74)</f>
        <v>3360420</v>
      </c>
      <c r="D73" s="639">
        <f t="shared" si="1"/>
        <v>3360</v>
      </c>
    </row>
    <row r="74" spans="1:4" ht="12.75">
      <c r="A74" s="331"/>
      <c r="B74" s="936" t="s">
        <v>957</v>
      </c>
      <c r="C74" s="809">
        <v>3360420</v>
      </c>
      <c r="D74" s="639">
        <f t="shared" si="1"/>
        <v>3360</v>
      </c>
    </row>
    <row r="75" spans="1:4" ht="12.75">
      <c r="A75" s="53">
        <v>552121</v>
      </c>
      <c r="B75" s="634" t="s">
        <v>1472</v>
      </c>
      <c r="C75" s="184">
        <f>SUM(C76:C77)</f>
        <v>2700000</v>
      </c>
      <c r="D75" s="639">
        <f t="shared" si="1"/>
        <v>2700</v>
      </c>
    </row>
    <row r="76" spans="1:4" ht="12.75">
      <c r="A76" s="53"/>
      <c r="B76" s="622" t="s">
        <v>83</v>
      </c>
      <c r="C76" s="639">
        <v>2700000</v>
      </c>
      <c r="D76" s="639">
        <f t="shared" si="1"/>
        <v>2700</v>
      </c>
    </row>
    <row r="77" spans="1:4" ht="12.75">
      <c r="A77" s="331"/>
      <c r="B77" s="622" t="s">
        <v>82</v>
      </c>
      <c r="C77" s="639"/>
      <c r="D77" s="639">
        <f t="shared" si="1"/>
        <v>0</v>
      </c>
    </row>
    <row r="78" spans="1:4" ht="12.75">
      <c r="A78" s="53">
        <v>55214</v>
      </c>
      <c r="B78" s="634" t="s">
        <v>1000</v>
      </c>
      <c r="C78" s="810">
        <v>3660000</v>
      </c>
      <c r="D78" s="639">
        <f t="shared" si="1"/>
        <v>3660</v>
      </c>
    </row>
    <row r="79" spans="1:4" ht="12.75">
      <c r="A79" s="331"/>
      <c r="B79" s="622"/>
      <c r="C79" s="639"/>
      <c r="D79" s="639">
        <f t="shared" si="1"/>
        <v>0</v>
      </c>
    </row>
    <row r="80" spans="1:4" ht="12.75">
      <c r="A80" s="53">
        <v>55215</v>
      </c>
      <c r="B80" s="634" t="s">
        <v>1001</v>
      </c>
      <c r="C80" s="810">
        <v>3520000</v>
      </c>
      <c r="D80" s="639">
        <f t="shared" si="1"/>
        <v>3520</v>
      </c>
    </row>
    <row r="81" spans="1:4" ht="12.75">
      <c r="A81" s="331"/>
      <c r="B81" s="622"/>
      <c r="C81" s="639"/>
      <c r="D81" s="639">
        <f>ROUND(C81,-3)/1000</f>
        <v>0</v>
      </c>
    </row>
    <row r="82" spans="1:4" ht="12.75">
      <c r="A82" s="53">
        <v>55217</v>
      </c>
      <c r="B82" s="634" t="s">
        <v>1002</v>
      </c>
      <c r="C82" s="810">
        <v>990000</v>
      </c>
      <c r="D82" s="639">
        <f t="shared" si="1"/>
        <v>990</v>
      </c>
    </row>
    <row r="83" spans="1:4" ht="12.75">
      <c r="A83" s="331"/>
      <c r="B83" s="622"/>
      <c r="C83" s="639"/>
      <c r="D83" s="639">
        <f t="shared" si="1"/>
        <v>0</v>
      </c>
    </row>
    <row r="84" spans="1:4" ht="12.75">
      <c r="A84" s="53">
        <v>55218</v>
      </c>
      <c r="B84" s="634" t="s">
        <v>1003</v>
      </c>
      <c r="C84" s="184">
        <f>SUM(C85:C86)</f>
        <v>500000</v>
      </c>
      <c r="D84" s="639">
        <f t="shared" si="1"/>
        <v>500</v>
      </c>
    </row>
    <row r="85" spans="1:4" ht="12.75">
      <c r="A85" s="53"/>
      <c r="B85" s="936" t="s">
        <v>84</v>
      </c>
      <c r="C85" s="809">
        <v>0</v>
      </c>
      <c r="D85" s="639">
        <f t="shared" si="1"/>
        <v>0</v>
      </c>
    </row>
    <row r="86" spans="1:4" ht="12.75">
      <c r="A86" s="53"/>
      <c r="B86" s="936" t="s">
        <v>955</v>
      </c>
      <c r="C86" s="809">
        <v>500000</v>
      </c>
      <c r="D86" s="639">
        <f t="shared" si="1"/>
        <v>500</v>
      </c>
    </row>
    <row r="87" spans="1:4" ht="12.75">
      <c r="A87" s="53">
        <v>55219</v>
      </c>
      <c r="B87" s="634" t="s">
        <v>1031</v>
      </c>
      <c r="C87" s="184">
        <f>SUM(C88:C90)</f>
        <v>3280000</v>
      </c>
      <c r="D87" s="639">
        <f t="shared" si="1"/>
        <v>3280</v>
      </c>
    </row>
    <row r="88" spans="1:4" ht="12.75">
      <c r="A88" s="331"/>
      <c r="B88" s="936" t="s">
        <v>1009</v>
      </c>
      <c r="C88" s="809">
        <v>280000</v>
      </c>
      <c r="D88" s="639">
        <f t="shared" si="1"/>
        <v>280</v>
      </c>
    </row>
    <row r="89" spans="1:4" ht="12.75">
      <c r="A89" s="331"/>
      <c r="B89" s="936" t="s">
        <v>952</v>
      </c>
      <c r="C89" s="809"/>
      <c r="D89" s="639">
        <f t="shared" si="1"/>
        <v>0</v>
      </c>
    </row>
    <row r="90" spans="1:4" ht="12.75">
      <c r="A90" s="331"/>
      <c r="B90" s="936" t="s">
        <v>949</v>
      </c>
      <c r="C90" s="809">
        <v>3000000</v>
      </c>
      <c r="D90" s="639">
        <f t="shared" si="1"/>
        <v>3000</v>
      </c>
    </row>
    <row r="91" spans="1:4" ht="12.75">
      <c r="A91" s="53">
        <v>5561</v>
      </c>
      <c r="B91" s="634" t="s">
        <v>86</v>
      </c>
      <c r="C91" s="184">
        <v>0</v>
      </c>
      <c r="D91" s="639">
        <f t="shared" si="1"/>
        <v>0</v>
      </c>
    </row>
    <row r="92" spans="1:4" ht="12.75">
      <c r="A92" s="331"/>
      <c r="B92" s="622"/>
      <c r="C92" s="639"/>
      <c r="D92" s="639">
        <f t="shared" si="1"/>
        <v>0</v>
      </c>
    </row>
    <row r="93" spans="1:4" ht="12.75">
      <c r="A93" s="385">
        <v>56111</v>
      </c>
      <c r="B93" s="53" t="s">
        <v>1005</v>
      </c>
      <c r="C93" s="184">
        <v>1554</v>
      </c>
      <c r="D93" s="639">
        <f t="shared" si="1"/>
        <v>2</v>
      </c>
    </row>
    <row r="94" spans="1:4" ht="12.75">
      <c r="A94" s="385"/>
      <c r="B94" s="53" t="s">
        <v>1005</v>
      </c>
      <c r="C94" s="184">
        <v>5647000</v>
      </c>
      <c r="D94" s="639">
        <f>'Polg. Hiv'!E92</f>
        <v>5647.05</v>
      </c>
    </row>
    <row r="95" spans="1:4" ht="12.75">
      <c r="A95" s="53">
        <v>56211</v>
      </c>
      <c r="B95" s="53" t="s">
        <v>1006</v>
      </c>
      <c r="C95" s="184">
        <v>250000</v>
      </c>
      <c r="D95" s="639">
        <f t="shared" si="1"/>
        <v>250</v>
      </c>
    </row>
    <row r="96" spans="1:4" ht="12.75">
      <c r="A96" s="53"/>
      <c r="B96" s="331" t="s">
        <v>954</v>
      </c>
      <c r="C96" s="639"/>
      <c r="D96" s="639">
        <f t="shared" si="1"/>
        <v>0</v>
      </c>
    </row>
    <row r="97" spans="1:4" ht="12.75">
      <c r="A97" s="53">
        <v>56319</v>
      </c>
      <c r="B97" s="634" t="s">
        <v>203</v>
      </c>
      <c r="C97" s="184">
        <v>65000</v>
      </c>
      <c r="D97" s="639">
        <f>ROUND(C97,-3)/1000</f>
        <v>65</v>
      </c>
    </row>
    <row r="98" spans="1:4" ht="12.75">
      <c r="A98" s="53"/>
      <c r="B98" s="622" t="s">
        <v>118</v>
      </c>
      <c r="C98" s="639"/>
      <c r="D98" s="639">
        <f t="shared" si="1"/>
        <v>0</v>
      </c>
    </row>
    <row r="99" spans="1:4" ht="12.75">
      <c r="A99" s="53"/>
      <c r="B99" s="622" t="s">
        <v>1026</v>
      </c>
      <c r="C99" s="639">
        <v>65000</v>
      </c>
      <c r="D99" s="639">
        <f t="shared" si="1"/>
        <v>65</v>
      </c>
    </row>
    <row r="100" spans="1:4" ht="12.75">
      <c r="A100" s="53">
        <v>5642</v>
      </c>
      <c r="B100" s="634" t="s">
        <v>440</v>
      </c>
      <c r="C100" s="184">
        <f>SUM(C101)</f>
        <v>0</v>
      </c>
      <c r="D100" s="639">
        <f t="shared" si="1"/>
        <v>0</v>
      </c>
    </row>
    <row r="101" spans="1:4" ht="12.75">
      <c r="A101" s="53"/>
      <c r="B101" s="622" t="s">
        <v>859</v>
      </c>
      <c r="C101" s="639"/>
      <c r="D101" s="639">
        <f t="shared" si="1"/>
        <v>0</v>
      </c>
    </row>
    <row r="102" spans="1:6" ht="12.75">
      <c r="A102" s="53">
        <v>57211</v>
      </c>
      <c r="B102" s="634" t="s">
        <v>1207</v>
      </c>
      <c r="C102" s="810">
        <f>C103</f>
        <v>1713600</v>
      </c>
      <c r="D102" s="639">
        <f t="shared" si="1"/>
        <v>1714</v>
      </c>
      <c r="E102" s="8">
        <f>'841125-115-Elsőfokú ép. hatóság'!E36</f>
        <v>46.410000000000004</v>
      </c>
      <c r="F102" s="8">
        <f>'841133-adó beszedése'!E30</f>
        <v>160.65</v>
      </c>
    </row>
    <row r="103" spans="1:4" ht="12.75">
      <c r="A103" s="53"/>
      <c r="B103" s="634" t="s">
        <v>925</v>
      </c>
      <c r="C103" s="639">
        <f>(C30+'Polg. Hiv'!Z33)*0.357</f>
        <v>1713600</v>
      </c>
      <c r="D103" s="639">
        <f t="shared" si="1"/>
        <v>1714</v>
      </c>
    </row>
    <row r="104" spans="1:6" ht="12.75">
      <c r="A104" s="53">
        <v>57213</v>
      </c>
      <c r="B104" s="53" t="s">
        <v>798</v>
      </c>
      <c r="C104" s="184">
        <v>1591000</v>
      </c>
      <c r="D104" s="639">
        <f t="shared" si="1"/>
        <v>1591</v>
      </c>
      <c r="E104" s="8">
        <f>'841125-115-Elsőfokú ép. hatóság'!E37</f>
        <v>96</v>
      </c>
      <c r="F104" s="8">
        <f>'841133-adó beszedése'!E31</f>
        <v>145</v>
      </c>
    </row>
    <row r="105" spans="1:4" ht="12.75">
      <c r="A105" s="53">
        <v>57219</v>
      </c>
      <c r="B105" s="53" t="s">
        <v>89</v>
      </c>
      <c r="C105" s="184">
        <f>SUM(C106:C108)</f>
        <v>361732</v>
      </c>
      <c r="D105" s="639">
        <f t="shared" si="1"/>
        <v>362</v>
      </c>
    </row>
    <row r="106" spans="1:4" ht="12.75">
      <c r="A106" s="53"/>
      <c r="B106" s="937" t="s">
        <v>953</v>
      </c>
      <c r="C106" s="809">
        <v>125584</v>
      </c>
      <c r="D106" s="639">
        <f t="shared" si="1"/>
        <v>126</v>
      </c>
    </row>
    <row r="107" spans="1:4" ht="12.75">
      <c r="A107" s="53"/>
      <c r="B107" s="937" t="s">
        <v>854</v>
      </c>
      <c r="C107" s="809">
        <v>34788</v>
      </c>
      <c r="D107" s="639">
        <f t="shared" si="1"/>
        <v>35</v>
      </c>
    </row>
    <row r="108" spans="1:4" ht="12.75">
      <c r="A108" s="53"/>
      <c r="B108" s="937" t="s">
        <v>1183</v>
      </c>
      <c r="C108" s="809">
        <v>201360</v>
      </c>
      <c r="D108" s="639">
        <f t="shared" si="1"/>
        <v>201</v>
      </c>
    </row>
    <row r="109" spans="1:4" ht="12.75">
      <c r="A109" s="53"/>
      <c r="B109" s="53"/>
      <c r="C109" s="639"/>
      <c r="D109" s="639">
        <f t="shared" si="1"/>
        <v>0</v>
      </c>
    </row>
    <row r="110" spans="1:6" ht="15.75">
      <c r="A110" s="938" t="s">
        <v>162</v>
      </c>
      <c r="B110" s="939"/>
      <c r="C110" s="940">
        <f>C56+C58+C61+C66+C68+C71+C73+C75+C78+C80+C82+C84+C87+C91+C93+C95+C97+C100+C102+C104+C105+C94</f>
        <v>30717143</v>
      </c>
      <c r="D110" s="940">
        <f>D56+D58+D61+D66+D68+D71+D73+D75+D78+D80+D82+D84+D87+D91+D93+D95+D97+D100+D102+D104+D105+D94</f>
        <v>30717.05</v>
      </c>
      <c r="E110" s="11">
        <f>SUM(E56:E109)</f>
        <v>142.41</v>
      </c>
      <c r="F110" s="11">
        <f>SUM(F56:F109)</f>
        <v>305.65</v>
      </c>
    </row>
    <row r="111" spans="1:4" ht="15.75">
      <c r="A111" s="938"/>
      <c r="B111" s="939"/>
      <c r="C111" s="975"/>
      <c r="D111" s="639"/>
    </row>
    <row r="114" spans="1:4" ht="12.75">
      <c r="A114" s="386">
        <v>4641621</v>
      </c>
      <c r="B114" s="622" t="s">
        <v>1016</v>
      </c>
      <c r="C114" s="623"/>
      <c r="D114">
        <v>6668</v>
      </c>
    </row>
    <row r="115" spans="2:4" ht="12.75">
      <c r="B115" t="s">
        <v>879</v>
      </c>
      <c r="C115">
        <v>26068453</v>
      </c>
      <c r="D115">
        <v>26068</v>
      </c>
    </row>
  </sheetData>
  <sheetProtection/>
  <mergeCells count="2">
    <mergeCell ref="A5:D5"/>
    <mergeCell ref="A53:C5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3" max="6" man="1"/>
  </rowBreaks>
  <colBreaks count="1" manualBreakCount="1">
    <brk id="7" max="11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AB50"/>
  <sheetViews>
    <sheetView view="pageBreakPreview" zoomScaleSheetLayoutView="100" zoomScalePageLayoutView="0" workbookViewId="0" topLeftCell="A22">
      <pane xSplit="2" topLeftCell="C1" activePane="topRight" state="frozen"/>
      <selection pane="topLeft" activeCell="A1" sqref="A1"/>
      <selection pane="topRight" activeCell="Q38" sqref="Q38"/>
    </sheetView>
  </sheetViews>
  <sheetFormatPr defaultColWidth="9.140625" defaultRowHeight="12.75"/>
  <cols>
    <col min="1" max="1" width="3.28125" style="267" customWidth="1"/>
    <col min="2" max="2" width="38.140625" style="526" bestFit="1" customWidth="1"/>
    <col min="3" max="3" width="15.28125" style="420" customWidth="1"/>
    <col min="4" max="4" width="15.7109375" style="542" customWidth="1"/>
    <col min="5" max="5" width="9.28125" style="527" bestFit="1" customWidth="1"/>
    <col min="6" max="6" width="9.140625" style="420" bestFit="1" customWidth="1"/>
    <col min="7" max="7" width="9.28125" style="420" bestFit="1" customWidth="1"/>
    <col min="8" max="8" width="10.421875" style="420" bestFit="1" customWidth="1"/>
    <col min="9" max="9" width="9.140625" style="420" bestFit="1" customWidth="1"/>
    <col min="10" max="10" width="9.28125" style="420" bestFit="1" customWidth="1"/>
    <col min="11" max="12" width="9.140625" style="420" bestFit="1" customWidth="1"/>
    <col min="13" max="13" width="9.28125" style="420" bestFit="1" customWidth="1"/>
    <col min="14" max="14" width="10.8515625" style="420" bestFit="1" customWidth="1"/>
    <col min="15" max="16" width="9.140625" style="420" bestFit="1" customWidth="1"/>
    <col min="17" max="17" width="13.7109375" style="527" bestFit="1" customWidth="1"/>
    <col min="18" max="18" width="10.421875" style="420" customWidth="1"/>
    <col min="19" max="19" width="11.421875" style="544" bestFit="1" customWidth="1"/>
    <col min="20" max="20" width="10.28125" style="420" customWidth="1"/>
    <col min="21" max="21" width="19.7109375" style="420" bestFit="1" customWidth="1"/>
    <col min="22" max="22" width="6.57421875" style="420" bestFit="1" customWidth="1"/>
    <col min="23" max="23" width="9.8515625" style="420" customWidth="1"/>
    <col min="24" max="24" width="14.140625" style="420" customWidth="1"/>
    <col min="25" max="25" width="15.00390625" style="420" customWidth="1"/>
    <col min="26" max="26" width="10.8515625" style="267" customWidth="1"/>
    <col min="27" max="27" width="40.140625" style="267" bestFit="1" customWidth="1"/>
    <col min="28" max="16384" width="9.140625" style="267" customWidth="1"/>
  </cols>
  <sheetData>
    <row r="1" spans="1:27" ht="15">
      <c r="A1" s="782" t="s">
        <v>818</v>
      </c>
      <c r="B1" s="543" t="s">
        <v>79</v>
      </c>
      <c r="C1" s="596"/>
      <c r="D1" s="597" t="s">
        <v>34</v>
      </c>
      <c r="E1" s="529" t="s">
        <v>959</v>
      </c>
      <c r="F1" s="598" t="s">
        <v>960</v>
      </c>
      <c r="G1" s="598" t="s">
        <v>961</v>
      </c>
      <c r="H1" s="598" t="s">
        <v>962</v>
      </c>
      <c r="I1" s="598" t="s">
        <v>963</v>
      </c>
      <c r="J1" s="598" t="s">
        <v>964</v>
      </c>
      <c r="K1" s="598" t="s">
        <v>965</v>
      </c>
      <c r="L1" s="598" t="s">
        <v>966</v>
      </c>
      <c r="M1" s="598" t="s">
        <v>1088</v>
      </c>
      <c r="N1" s="598" t="s">
        <v>1089</v>
      </c>
      <c r="O1" s="598" t="s">
        <v>1090</v>
      </c>
      <c r="P1" s="598" t="s">
        <v>1091</v>
      </c>
      <c r="Q1" s="529" t="s">
        <v>121</v>
      </c>
      <c r="R1" s="598" t="s">
        <v>152</v>
      </c>
      <c r="S1" s="598" t="s">
        <v>1012</v>
      </c>
      <c r="T1" s="598" t="s">
        <v>125</v>
      </c>
      <c r="U1" s="598" t="s">
        <v>153</v>
      </c>
      <c r="V1" s="598" t="s">
        <v>102</v>
      </c>
      <c r="W1" s="598" t="s">
        <v>456</v>
      </c>
      <c r="X1" s="598" t="s">
        <v>122</v>
      </c>
      <c r="Y1" s="662"/>
      <c r="Z1" s="551" t="s">
        <v>256</v>
      </c>
      <c r="AA1" s="551" t="s">
        <v>101</v>
      </c>
    </row>
    <row r="2" spans="1:27" ht="15">
      <c r="A2" s="782" t="s">
        <v>781</v>
      </c>
      <c r="B2" s="269" t="s">
        <v>1491</v>
      </c>
      <c r="C2" s="941" t="s">
        <v>74</v>
      </c>
      <c r="D2" s="784">
        <v>1421600</v>
      </c>
      <c r="E2" s="528">
        <v>162300</v>
      </c>
      <c r="F2" s="528">
        <v>162300</v>
      </c>
      <c r="G2" s="528">
        <v>162300</v>
      </c>
      <c r="H2" s="528">
        <v>162300</v>
      </c>
      <c r="I2" s="528">
        <v>162300</v>
      </c>
      <c r="J2" s="528">
        <v>162300</v>
      </c>
      <c r="K2" s="528">
        <v>162300</v>
      </c>
      <c r="L2" s="528">
        <v>162300</v>
      </c>
      <c r="M2" s="528">
        <v>162300</v>
      </c>
      <c r="N2" s="528">
        <v>162300</v>
      </c>
      <c r="O2" s="528">
        <v>162300</v>
      </c>
      <c r="P2" s="528">
        <v>162300</v>
      </c>
      <c r="Q2" s="530">
        <f aca="true" t="shared" si="0" ref="Q2:Q7">SUBTOTAL(9,E2:P2)</f>
        <v>1947600</v>
      </c>
      <c r="R2" s="598"/>
      <c r="S2" s="598"/>
      <c r="T2" s="598"/>
      <c r="U2" s="598"/>
      <c r="V2" s="598"/>
      <c r="W2" s="598"/>
      <c r="X2" s="1047"/>
      <c r="Y2" s="957">
        <f>Q2+R2+S2+U2+V2+W2+X2</f>
        <v>1947600</v>
      </c>
      <c r="Z2" s="551">
        <v>150000</v>
      </c>
      <c r="AA2" s="551"/>
    </row>
    <row r="3" spans="1:27" ht="15">
      <c r="A3" s="782" t="s">
        <v>782</v>
      </c>
      <c r="B3" s="525" t="s">
        <v>967</v>
      </c>
      <c r="C3" s="941" t="s">
        <v>74</v>
      </c>
      <c r="D3" s="954" t="s">
        <v>969</v>
      </c>
      <c r="E3" s="955">
        <v>139900</v>
      </c>
      <c r="F3" s="955">
        <v>139900</v>
      </c>
      <c r="G3" s="955">
        <v>139900</v>
      </c>
      <c r="H3" s="955">
        <v>139900</v>
      </c>
      <c r="I3" s="955">
        <v>139900</v>
      </c>
      <c r="J3" s="955">
        <v>139900</v>
      </c>
      <c r="K3" s="955">
        <v>139900</v>
      </c>
      <c r="L3" s="955">
        <v>139900</v>
      </c>
      <c r="M3" s="955">
        <v>139900</v>
      </c>
      <c r="N3" s="955">
        <v>139900</v>
      </c>
      <c r="O3" s="955">
        <v>139900</v>
      </c>
      <c r="P3" s="955">
        <v>139900</v>
      </c>
      <c r="Q3" s="530">
        <f t="shared" si="0"/>
        <v>1678800</v>
      </c>
      <c r="R3" s="598">
        <v>241200</v>
      </c>
      <c r="S3" s="598"/>
      <c r="T3" s="598"/>
      <c r="U3" s="598"/>
      <c r="V3" s="598"/>
      <c r="W3" s="598"/>
      <c r="X3" s="1047"/>
      <c r="Y3" s="957">
        <f>Q3+R3+S3+U3+V3+W3+X3</f>
        <v>1920000</v>
      </c>
      <c r="Z3" s="551">
        <v>150000</v>
      </c>
      <c r="AA3" s="551" t="s">
        <v>166</v>
      </c>
    </row>
    <row r="4" spans="1:27" ht="15">
      <c r="A4" s="782" t="s">
        <v>783</v>
      </c>
      <c r="B4" s="800" t="s">
        <v>968</v>
      </c>
      <c r="C4" s="941" t="s">
        <v>74</v>
      </c>
      <c r="D4" s="954" t="s">
        <v>969</v>
      </c>
      <c r="E4" s="955">
        <v>114000</v>
      </c>
      <c r="F4" s="955">
        <v>114000</v>
      </c>
      <c r="G4" s="955">
        <v>114000</v>
      </c>
      <c r="H4" s="955">
        <v>114000</v>
      </c>
      <c r="I4" s="955">
        <v>114000</v>
      </c>
      <c r="J4" s="955">
        <v>114000</v>
      </c>
      <c r="K4" s="955">
        <v>114000</v>
      </c>
      <c r="L4" s="955">
        <v>114000</v>
      </c>
      <c r="M4" s="955">
        <v>114000</v>
      </c>
      <c r="N4" s="955">
        <v>114000</v>
      </c>
      <c r="O4" s="955">
        <v>114000</v>
      </c>
      <c r="P4" s="955">
        <v>114000</v>
      </c>
      <c r="Q4" s="530">
        <f t="shared" si="0"/>
        <v>1368000</v>
      </c>
      <c r="R4" s="598"/>
      <c r="S4" s="598"/>
      <c r="T4" s="598"/>
      <c r="U4" s="598"/>
      <c r="V4" s="598"/>
      <c r="W4" s="598"/>
      <c r="X4" s="1047"/>
      <c r="Y4" s="957">
        <f>Q4+R4+S4+U4+V4+W4+X4</f>
        <v>1368000</v>
      </c>
      <c r="Z4" s="551">
        <v>150000</v>
      </c>
      <c r="AA4" s="551"/>
    </row>
    <row r="5" spans="1:27" ht="15">
      <c r="A5" s="782" t="s">
        <v>1065</v>
      </c>
      <c r="B5" s="269" t="s">
        <v>179</v>
      </c>
      <c r="C5" s="419" t="s">
        <v>73</v>
      </c>
      <c r="D5" s="783">
        <v>1430000</v>
      </c>
      <c r="E5" s="528">
        <v>108000</v>
      </c>
      <c r="F5" s="528">
        <v>114000</v>
      </c>
      <c r="G5" s="528">
        <v>114000</v>
      </c>
      <c r="H5" s="528">
        <v>114000</v>
      </c>
      <c r="I5" s="528">
        <v>114000</v>
      </c>
      <c r="J5" s="528">
        <v>114000</v>
      </c>
      <c r="K5" s="528">
        <v>114000</v>
      </c>
      <c r="L5" s="528">
        <v>114000</v>
      </c>
      <c r="M5" s="528">
        <v>114000</v>
      </c>
      <c r="N5" s="528">
        <v>114000</v>
      </c>
      <c r="O5" s="528">
        <v>114000</v>
      </c>
      <c r="P5" s="528">
        <v>114000</v>
      </c>
      <c r="Q5" s="530">
        <f t="shared" si="0"/>
        <v>1362000</v>
      </c>
      <c r="R5" s="528"/>
      <c r="S5" s="528"/>
      <c r="T5" s="528"/>
      <c r="U5" s="528"/>
      <c r="V5" s="528"/>
      <c r="W5" s="528"/>
      <c r="X5" s="661"/>
      <c r="Y5" s="663">
        <f>+Q5+R5+S5+T5+U5+V5+W5+X5</f>
        <v>1362000</v>
      </c>
      <c r="Z5" s="523">
        <v>150000</v>
      </c>
      <c r="AA5" s="778"/>
    </row>
    <row r="6" spans="1:28" s="607" customFormat="1" ht="15">
      <c r="A6" s="782" t="s">
        <v>1050</v>
      </c>
      <c r="B6" s="269" t="s">
        <v>1441</v>
      </c>
      <c r="C6" s="787" t="s">
        <v>73</v>
      </c>
      <c r="D6" s="783">
        <v>1410600</v>
      </c>
      <c r="E6" s="788">
        <v>150700</v>
      </c>
      <c r="F6" s="788">
        <v>150700</v>
      </c>
      <c r="G6" s="788">
        <v>150700</v>
      </c>
      <c r="H6" s="788">
        <v>150700</v>
      </c>
      <c r="I6" s="788">
        <v>150700</v>
      </c>
      <c r="J6" s="788">
        <v>150700</v>
      </c>
      <c r="K6" s="788">
        <v>150700</v>
      </c>
      <c r="L6" s="788">
        <v>150700</v>
      </c>
      <c r="M6" s="788">
        <v>150700</v>
      </c>
      <c r="N6" s="788">
        <v>150700</v>
      </c>
      <c r="O6" s="788">
        <v>150700</v>
      </c>
      <c r="P6" s="788">
        <v>150700</v>
      </c>
      <c r="Q6" s="530">
        <f t="shared" si="0"/>
        <v>1808400</v>
      </c>
      <c r="R6" s="788"/>
      <c r="S6" s="528">
        <v>278300</v>
      </c>
      <c r="T6" s="788"/>
      <c r="U6" s="788"/>
      <c r="V6" s="788"/>
      <c r="W6" s="788"/>
      <c r="X6" s="791"/>
      <c r="Y6" s="663">
        <f>+Q6+R6+S6+T6+U6+V6+W6+X6</f>
        <v>2086700</v>
      </c>
      <c r="Z6" s="781">
        <v>150000</v>
      </c>
      <c r="AA6" s="792"/>
      <c r="AB6" s="793"/>
    </row>
    <row r="7" spans="1:27" ht="15">
      <c r="A7" s="1042" t="s">
        <v>1051</v>
      </c>
      <c r="B7" s="269" t="s">
        <v>729</v>
      </c>
      <c r="C7" s="419" t="s">
        <v>73</v>
      </c>
      <c r="D7" s="784">
        <v>1410700</v>
      </c>
      <c r="E7" s="528"/>
      <c r="F7" s="528">
        <v>162300</v>
      </c>
      <c r="G7" s="528">
        <v>162300</v>
      </c>
      <c r="H7" s="528">
        <v>162300</v>
      </c>
      <c r="I7" s="528">
        <v>162300</v>
      </c>
      <c r="J7" s="528">
        <v>162300</v>
      </c>
      <c r="K7" s="528">
        <v>162300</v>
      </c>
      <c r="L7" s="528">
        <v>162300</v>
      </c>
      <c r="M7" s="528">
        <v>162300</v>
      </c>
      <c r="N7" s="528">
        <v>162300</v>
      </c>
      <c r="O7" s="528">
        <v>162300</v>
      </c>
      <c r="P7" s="528">
        <v>162300</v>
      </c>
      <c r="Q7" s="530">
        <f t="shared" si="0"/>
        <v>1785300</v>
      </c>
      <c r="R7" s="528"/>
      <c r="S7" s="528">
        <v>278300</v>
      </c>
      <c r="T7" s="528"/>
      <c r="U7" s="528"/>
      <c r="V7" s="528"/>
      <c r="W7" s="528"/>
      <c r="X7" s="661"/>
      <c r="Y7" s="663">
        <f>+Q7+R7+S7+T7+U7+V7+W7+X7</f>
        <v>2063600</v>
      </c>
      <c r="Z7" s="781">
        <v>150000</v>
      </c>
      <c r="AA7" s="1046" t="s">
        <v>1185</v>
      </c>
    </row>
    <row r="8" spans="1:27" ht="15">
      <c r="A8" s="782" t="s">
        <v>1052</v>
      </c>
      <c r="B8" s="269" t="s">
        <v>1093</v>
      </c>
      <c r="C8" s="419" t="s">
        <v>73</v>
      </c>
      <c r="D8" s="784">
        <v>1410700</v>
      </c>
      <c r="E8" s="528">
        <v>162300</v>
      </c>
      <c r="F8" s="528">
        <v>162300</v>
      </c>
      <c r="G8" s="528">
        <v>162300</v>
      </c>
      <c r="H8" s="528">
        <v>162300</v>
      </c>
      <c r="I8" s="528">
        <v>162300</v>
      </c>
      <c r="J8" s="528">
        <v>162300</v>
      </c>
      <c r="K8" s="528">
        <v>162300</v>
      </c>
      <c r="L8" s="528">
        <v>162300</v>
      </c>
      <c r="M8" s="528">
        <v>162300</v>
      </c>
      <c r="N8" s="528">
        <v>162300</v>
      </c>
      <c r="O8" s="528">
        <v>162300</v>
      </c>
      <c r="P8" s="528">
        <v>162300</v>
      </c>
      <c r="Q8" s="530">
        <f aca="true" t="shared" si="1" ref="Q8:Q18">SUBTOTAL(9,E8:P8)</f>
        <v>1947600</v>
      </c>
      <c r="R8" s="528"/>
      <c r="S8" s="528">
        <f>38650*12</f>
        <v>463800</v>
      </c>
      <c r="T8" s="528"/>
      <c r="U8" s="528"/>
      <c r="V8" s="528"/>
      <c r="W8" s="528"/>
      <c r="X8" s="661"/>
      <c r="Y8" s="663">
        <f aca="true" t="shared" si="2" ref="Y8:Y17">+Q8+R8+S8+T8+U8+V8+W8+X8</f>
        <v>2411400</v>
      </c>
      <c r="Z8" s="781">
        <v>150000</v>
      </c>
      <c r="AA8" s="792"/>
    </row>
    <row r="9" spans="1:28" s="607" customFormat="1" ht="15">
      <c r="A9" s="782" t="s">
        <v>1053</v>
      </c>
      <c r="B9" s="779" t="s">
        <v>182</v>
      </c>
      <c r="C9" s="785" t="s">
        <v>73</v>
      </c>
      <c r="D9" s="784">
        <v>1410700</v>
      </c>
      <c r="E9" s="786">
        <v>162300</v>
      </c>
      <c r="F9" s="786">
        <v>162300</v>
      </c>
      <c r="G9" s="786">
        <v>162300</v>
      </c>
      <c r="H9" s="786">
        <v>162300</v>
      </c>
      <c r="I9" s="786">
        <v>162300</v>
      </c>
      <c r="J9" s="786">
        <v>162300</v>
      </c>
      <c r="K9" s="786">
        <v>162300</v>
      </c>
      <c r="L9" s="786">
        <v>162300</v>
      </c>
      <c r="M9" s="786">
        <v>162300</v>
      </c>
      <c r="N9" s="786">
        <v>162300</v>
      </c>
      <c r="O9" s="786">
        <v>162300</v>
      </c>
      <c r="P9" s="786">
        <v>162300</v>
      </c>
      <c r="Q9" s="530">
        <f t="shared" si="1"/>
        <v>1947600</v>
      </c>
      <c r="R9" s="786"/>
      <c r="S9" s="528">
        <v>278300</v>
      </c>
      <c r="T9" s="786"/>
      <c r="U9" s="786"/>
      <c r="V9" s="786"/>
      <c r="W9" s="786"/>
      <c r="X9" s="790"/>
      <c r="Y9" s="663">
        <f t="shared" si="2"/>
        <v>2225900</v>
      </c>
      <c r="Z9" s="781">
        <v>150000</v>
      </c>
      <c r="AA9" s="794"/>
      <c r="AB9" s="793"/>
    </row>
    <row r="10" spans="1:27" ht="15">
      <c r="A10" s="782" t="s">
        <v>1054</v>
      </c>
      <c r="B10" s="269" t="s">
        <v>135</v>
      </c>
      <c r="C10" s="419" t="s">
        <v>73</v>
      </c>
      <c r="D10" s="784">
        <v>1420500</v>
      </c>
      <c r="E10" s="528">
        <v>108000</v>
      </c>
      <c r="F10" s="528">
        <v>114000</v>
      </c>
      <c r="G10" s="528">
        <v>114000</v>
      </c>
      <c r="H10" s="528">
        <v>114000</v>
      </c>
      <c r="I10" s="528">
        <v>114000</v>
      </c>
      <c r="J10" s="528">
        <v>114000</v>
      </c>
      <c r="K10" s="528">
        <v>114000</v>
      </c>
      <c r="L10" s="528">
        <v>114000</v>
      </c>
      <c r="M10" s="528">
        <v>114000</v>
      </c>
      <c r="N10" s="528">
        <v>114000</v>
      </c>
      <c r="O10" s="528">
        <v>114000</v>
      </c>
      <c r="P10" s="528">
        <v>114000</v>
      </c>
      <c r="Q10" s="530">
        <f t="shared" si="1"/>
        <v>1362000</v>
      </c>
      <c r="R10" s="528"/>
      <c r="S10" s="528"/>
      <c r="T10" s="528"/>
      <c r="U10" s="528"/>
      <c r="V10" s="528"/>
      <c r="W10" s="528"/>
      <c r="X10" s="661"/>
      <c r="Y10" s="663">
        <f t="shared" si="2"/>
        <v>1362000</v>
      </c>
      <c r="Z10" s="781">
        <v>150000</v>
      </c>
      <c r="AA10" s="958" t="s">
        <v>171</v>
      </c>
    </row>
    <row r="11" spans="1:28" ht="15">
      <c r="A11" s="782" t="s">
        <v>1055</v>
      </c>
      <c r="B11" s="269" t="s">
        <v>1094</v>
      </c>
      <c r="C11" s="419" t="s">
        <v>75</v>
      </c>
      <c r="D11" s="784">
        <v>1400700</v>
      </c>
      <c r="E11" s="528">
        <v>270600</v>
      </c>
      <c r="F11" s="528">
        <v>270600</v>
      </c>
      <c r="G11" s="528">
        <v>270500</v>
      </c>
      <c r="H11" s="528">
        <v>270500</v>
      </c>
      <c r="I11" s="528">
        <v>270500</v>
      </c>
      <c r="J11" s="528">
        <v>270500</v>
      </c>
      <c r="K11" s="528">
        <v>270500</v>
      </c>
      <c r="L11" s="528">
        <v>270500</v>
      </c>
      <c r="M11" s="528">
        <v>270500</v>
      </c>
      <c r="N11" s="528">
        <v>270500</v>
      </c>
      <c r="O11" s="528">
        <v>270500</v>
      </c>
      <c r="P11" s="528">
        <v>270500</v>
      </c>
      <c r="Q11" s="530">
        <f t="shared" si="1"/>
        <v>3246200</v>
      </c>
      <c r="R11" s="528"/>
      <c r="S11" s="528">
        <v>556600</v>
      </c>
      <c r="T11" s="528"/>
      <c r="U11" s="528"/>
      <c r="V11" s="528"/>
      <c r="W11" s="528"/>
      <c r="X11" s="661"/>
      <c r="Y11" s="663">
        <f t="shared" si="2"/>
        <v>3802800</v>
      </c>
      <c r="Z11" s="781">
        <v>150000</v>
      </c>
      <c r="AA11" s="792"/>
      <c r="AB11" s="793"/>
    </row>
    <row r="12" spans="1:27" ht="15">
      <c r="A12" s="782" t="s">
        <v>1066</v>
      </c>
      <c r="B12" s="268" t="s">
        <v>1092</v>
      </c>
      <c r="C12" s="419" t="s">
        <v>75</v>
      </c>
      <c r="D12" s="784">
        <v>1410300</v>
      </c>
      <c r="E12" s="528">
        <v>127500</v>
      </c>
      <c r="F12" s="528">
        <v>127500</v>
      </c>
      <c r="G12" s="528">
        <v>127500</v>
      </c>
      <c r="H12" s="528">
        <v>127500</v>
      </c>
      <c r="I12" s="528">
        <v>135300</v>
      </c>
      <c r="J12" s="528">
        <v>135300</v>
      </c>
      <c r="K12" s="528">
        <v>135300</v>
      </c>
      <c r="L12" s="528">
        <v>135300</v>
      </c>
      <c r="M12" s="528">
        <v>135300</v>
      </c>
      <c r="N12" s="528">
        <v>135300</v>
      </c>
      <c r="O12" s="528">
        <v>135300</v>
      </c>
      <c r="P12" s="528">
        <v>135300</v>
      </c>
      <c r="Q12" s="530">
        <f t="shared" si="1"/>
        <v>1592400</v>
      </c>
      <c r="R12" s="528"/>
      <c r="S12" s="528">
        <v>278300</v>
      </c>
      <c r="T12" s="528"/>
      <c r="U12" s="528"/>
      <c r="V12" s="528"/>
      <c r="W12" s="528"/>
      <c r="X12" s="661"/>
      <c r="Y12" s="663">
        <f t="shared" si="2"/>
        <v>1870700</v>
      </c>
      <c r="Z12" s="781">
        <v>150000</v>
      </c>
      <c r="AA12" s="960" t="s">
        <v>165</v>
      </c>
    </row>
    <row r="13" spans="1:27" ht="15">
      <c r="A13" s="782" t="s">
        <v>1067</v>
      </c>
      <c r="B13" s="268" t="s">
        <v>1493</v>
      </c>
      <c r="C13" s="419" t="s">
        <v>75</v>
      </c>
      <c r="D13" s="784">
        <v>1421600</v>
      </c>
      <c r="E13" s="528">
        <v>170100</v>
      </c>
      <c r="F13" s="528">
        <v>170100</v>
      </c>
      <c r="G13" s="528">
        <v>170100</v>
      </c>
      <c r="H13" s="528">
        <v>170100</v>
      </c>
      <c r="I13" s="528">
        <v>170100</v>
      </c>
      <c r="J13" s="528">
        <v>170100</v>
      </c>
      <c r="K13" s="528">
        <v>170100</v>
      </c>
      <c r="L13" s="528">
        <v>170100</v>
      </c>
      <c r="M13" s="528">
        <v>170100</v>
      </c>
      <c r="N13" s="528">
        <v>170100</v>
      </c>
      <c r="O13" s="528">
        <v>170100</v>
      </c>
      <c r="P13" s="528">
        <v>170100</v>
      </c>
      <c r="Q13" s="530">
        <f t="shared" si="1"/>
        <v>2041200</v>
      </c>
      <c r="R13" s="528"/>
      <c r="S13" s="528"/>
      <c r="T13" s="528"/>
      <c r="U13" s="528"/>
      <c r="V13" s="528"/>
      <c r="W13" s="528"/>
      <c r="X13" s="661"/>
      <c r="Y13" s="663">
        <f t="shared" si="2"/>
        <v>2041200</v>
      </c>
      <c r="Z13" s="781">
        <v>150000</v>
      </c>
      <c r="AA13" s="792"/>
    </row>
    <row r="14" spans="1:28" s="607" customFormat="1" ht="15">
      <c r="A14" s="782" t="s">
        <v>1068</v>
      </c>
      <c r="B14" s="269" t="s">
        <v>461</v>
      </c>
      <c r="C14" s="419" t="s">
        <v>75</v>
      </c>
      <c r="D14" s="784">
        <v>1421100</v>
      </c>
      <c r="E14" s="528">
        <v>108200</v>
      </c>
      <c r="F14" s="528">
        <v>114000</v>
      </c>
      <c r="G14" s="528">
        <v>114000</v>
      </c>
      <c r="H14" s="528">
        <v>114000</v>
      </c>
      <c r="I14" s="528">
        <v>114000</v>
      </c>
      <c r="J14" s="528">
        <v>114000</v>
      </c>
      <c r="K14" s="528">
        <v>114000</v>
      </c>
      <c r="L14" s="528">
        <v>114000</v>
      </c>
      <c r="M14" s="528">
        <v>114000</v>
      </c>
      <c r="N14" s="528">
        <v>114000</v>
      </c>
      <c r="O14" s="528">
        <v>114000</v>
      </c>
      <c r="P14" s="528">
        <v>114000</v>
      </c>
      <c r="Q14" s="530">
        <f t="shared" si="1"/>
        <v>1362200</v>
      </c>
      <c r="R14" s="528">
        <v>240300</v>
      </c>
      <c r="S14" s="528"/>
      <c r="T14" s="528"/>
      <c r="U14" s="528"/>
      <c r="V14" s="528"/>
      <c r="W14" s="528"/>
      <c r="X14" s="661"/>
      <c r="Y14" s="663">
        <f t="shared" si="2"/>
        <v>1602500</v>
      </c>
      <c r="Z14" s="781">
        <v>150000</v>
      </c>
      <c r="AA14" s="794"/>
      <c r="AB14" s="793"/>
    </row>
    <row r="15" spans="1:27" ht="15">
      <c r="A15" s="782" t="s">
        <v>1069</v>
      </c>
      <c r="B15" s="269" t="s">
        <v>460</v>
      </c>
      <c r="C15" s="419" t="s">
        <v>75</v>
      </c>
      <c r="D15" s="784">
        <v>1410700</v>
      </c>
      <c r="E15" s="528">
        <v>162300</v>
      </c>
      <c r="F15" s="528">
        <v>162300</v>
      </c>
      <c r="G15" s="528">
        <v>162300</v>
      </c>
      <c r="H15" s="528">
        <v>162300</v>
      </c>
      <c r="I15" s="528">
        <v>162300</v>
      </c>
      <c r="J15" s="528">
        <v>162300</v>
      </c>
      <c r="K15" s="528">
        <v>162300</v>
      </c>
      <c r="L15" s="528">
        <v>162300</v>
      </c>
      <c r="M15" s="528">
        <v>162300</v>
      </c>
      <c r="N15" s="528">
        <v>162300</v>
      </c>
      <c r="O15" s="528">
        <v>162300</v>
      </c>
      <c r="P15" s="528">
        <v>162300</v>
      </c>
      <c r="Q15" s="530">
        <f t="shared" si="1"/>
        <v>1947600</v>
      </c>
      <c r="R15" s="528"/>
      <c r="S15" s="528">
        <v>278300</v>
      </c>
      <c r="T15" s="528"/>
      <c r="U15" s="528"/>
      <c r="V15" s="528"/>
      <c r="W15" s="528"/>
      <c r="X15" s="661"/>
      <c r="Y15" s="663">
        <f t="shared" si="2"/>
        <v>2225900</v>
      </c>
      <c r="Z15" s="781">
        <v>150000</v>
      </c>
      <c r="AA15" s="781"/>
    </row>
    <row r="16" spans="1:27" ht="15">
      <c r="A16" s="782" t="s">
        <v>1070</v>
      </c>
      <c r="B16" s="800" t="s">
        <v>971</v>
      </c>
      <c r="C16" s="419" t="s">
        <v>75</v>
      </c>
      <c r="D16" s="956">
        <v>1410200</v>
      </c>
      <c r="E16" s="528">
        <v>100000</v>
      </c>
      <c r="F16" s="528">
        <v>40000</v>
      </c>
      <c r="G16" s="528">
        <v>123700</v>
      </c>
      <c r="H16" s="528">
        <v>123700</v>
      </c>
      <c r="I16" s="528">
        <v>123700</v>
      </c>
      <c r="J16" s="528">
        <v>123700</v>
      </c>
      <c r="K16" s="528">
        <v>123700</v>
      </c>
      <c r="L16" s="528">
        <v>123700</v>
      </c>
      <c r="M16" s="528">
        <v>123700</v>
      </c>
      <c r="N16" s="528">
        <v>123700</v>
      </c>
      <c r="O16" s="528">
        <v>123700</v>
      </c>
      <c r="P16" s="528">
        <v>123700</v>
      </c>
      <c r="Q16" s="530">
        <f t="shared" si="1"/>
        <v>1377000</v>
      </c>
      <c r="R16" s="528"/>
      <c r="S16" s="528"/>
      <c r="T16" s="528"/>
      <c r="U16" s="528"/>
      <c r="V16" s="528"/>
      <c r="W16" s="528"/>
      <c r="X16" s="661"/>
      <c r="Y16" s="663">
        <f t="shared" si="2"/>
        <v>1377000</v>
      </c>
      <c r="Z16" s="781">
        <v>150000</v>
      </c>
      <c r="AA16" s="781"/>
    </row>
    <row r="17" spans="1:28" s="607" customFormat="1" ht="15">
      <c r="A17" s="782" t="s">
        <v>1071</v>
      </c>
      <c r="B17" s="800" t="s">
        <v>970</v>
      </c>
      <c r="C17" s="419" t="s">
        <v>75</v>
      </c>
      <c r="D17" s="956">
        <v>1420100</v>
      </c>
      <c r="E17" s="780">
        <v>108000</v>
      </c>
      <c r="F17" s="780">
        <v>114000</v>
      </c>
      <c r="G17" s="780">
        <v>114000</v>
      </c>
      <c r="H17" s="780">
        <v>114000</v>
      </c>
      <c r="I17" s="780">
        <v>114000</v>
      </c>
      <c r="J17" s="780">
        <v>114000</v>
      </c>
      <c r="K17" s="780">
        <v>114000</v>
      </c>
      <c r="L17" s="780">
        <v>114000</v>
      </c>
      <c r="M17" s="780">
        <v>114000</v>
      </c>
      <c r="N17" s="780">
        <v>114000</v>
      </c>
      <c r="O17" s="780">
        <v>114000</v>
      </c>
      <c r="P17" s="780">
        <v>114000</v>
      </c>
      <c r="Q17" s="530">
        <f t="shared" si="1"/>
        <v>1362000</v>
      </c>
      <c r="R17" s="786"/>
      <c r="S17" s="780"/>
      <c r="T17" s="786"/>
      <c r="U17" s="786"/>
      <c r="V17" s="786"/>
      <c r="W17" s="786"/>
      <c r="X17" s="790"/>
      <c r="Y17" s="663">
        <f t="shared" si="2"/>
        <v>1362000</v>
      </c>
      <c r="Z17" s="781">
        <v>150000</v>
      </c>
      <c r="AA17" s="794" t="s">
        <v>167</v>
      </c>
      <c r="AB17" s="793"/>
    </row>
    <row r="18" spans="1:27" ht="15">
      <c r="A18" s="782" t="s">
        <v>1072</v>
      </c>
      <c r="B18" s="798" t="s">
        <v>181</v>
      </c>
      <c r="C18" s="785" t="s">
        <v>77</v>
      </c>
      <c r="D18" s="799" t="s">
        <v>142</v>
      </c>
      <c r="E18" s="786">
        <v>483200</v>
      </c>
      <c r="F18" s="786">
        <v>483200</v>
      </c>
      <c r="G18" s="786">
        <v>483200</v>
      </c>
      <c r="H18" s="786">
        <v>483200</v>
      </c>
      <c r="I18" s="786">
        <v>483200</v>
      </c>
      <c r="J18" s="786">
        <v>483200</v>
      </c>
      <c r="K18" s="786">
        <v>483200</v>
      </c>
      <c r="L18" s="786">
        <v>483200</v>
      </c>
      <c r="M18" s="786">
        <v>483200</v>
      </c>
      <c r="N18" s="786">
        <v>483200</v>
      </c>
      <c r="O18" s="786">
        <v>483200</v>
      </c>
      <c r="P18" s="786">
        <v>483200</v>
      </c>
      <c r="Q18" s="530">
        <f t="shared" si="1"/>
        <v>5798400</v>
      </c>
      <c r="R18" s="786"/>
      <c r="S18" s="780"/>
      <c r="T18" s="786"/>
      <c r="U18" s="786"/>
      <c r="V18" s="786"/>
      <c r="W18" s="786"/>
      <c r="X18" s="790"/>
      <c r="Y18" s="663">
        <f aca="true" t="shared" si="3" ref="Y18:Y36">+Q18+R18+S18+T18+U18+V18+W18+X18</f>
        <v>5798400</v>
      </c>
      <c r="Z18" s="781">
        <v>150000</v>
      </c>
      <c r="AA18" s="781"/>
    </row>
    <row r="19" spans="1:27" ht="15">
      <c r="A19" s="782" t="s">
        <v>1073</v>
      </c>
      <c r="B19" s="269" t="s">
        <v>849</v>
      </c>
      <c r="C19" s="419" t="s">
        <v>73</v>
      </c>
      <c r="D19" s="784">
        <v>1410800</v>
      </c>
      <c r="E19" s="528">
        <v>170100</v>
      </c>
      <c r="F19" s="528">
        <v>170100</v>
      </c>
      <c r="G19" s="528">
        <v>170100</v>
      </c>
      <c r="H19" s="528">
        <v>170100</v>
      </c>
      <c r="I19" s="528">
        <v>170100</v>
      </c>
      <c r="J19" s="528">
        <v>170100</v>
      </c>
      <c r="K19" s="528">
        <v>170100</v>
      </c>
      <c r="L19" s="528">
        <v>170100</v>
      </c>
      <c r="M19" s="528">
        <v>170100</v>
      </c>
      <c r="N19" s="528">
        <v>170100</v>
      </c>
      <c r="O19" s="528">
        <v>170100</v>
      </c>
      <c r="P19" s="528">
        <v>170100</v>
      </c>
      <c r="Q19" s="530">
        <f aca="true" t="shared" si="4" ref="Q19:Q37">SUBTOTAL(9,E19:P19)</f>
        <v>2041200</v>
      </c>
      <c r="R19" s="528"/>
      <c r="S19" s="528">
        <v>278300</v>
      </c>
      <c r="T19" s="528"/>
      <c r="U19" s="528"/>
      <c r="V19" s="528"/>
      <c r="W19" s="528"/>
      <c r="X19" s="661"/>
      <c r="Y19" s="663">
        <f t="shared" si="3"/>
        <v>2319500</v>
      </c>
      <c r="Z19" s="781">
        <v>150000</v>
      </c>
      <c r="AA19" s="795"/>
    </row>
    <row r="20" spans="1:27" ht="15">
      <c r="A20" s="1042" t="s">
        <v>1074</v>
      </c>
      <c r="B20" s="269" t="s">
        <v>958</v>
      </c>
      <c r="C20" s="419" t="s">
        <v>71</v>
      </c>
      <c r="D20" s="784">
        <v>1411000</v>
      </c>
      <c r="E20" s="528">
        <v>270600</v>
      </c>
      <c r="F20" s="528">
        <v>270600</v>
      </c>
      <c r="G20" s="528">
        <v>270600</v>
      </c>
      <c r="H20" s="528">
        <v>270600</v>
      </c>
      <c r="I20" s="528">
        <v>270600</v>
      </c>
      <c r="J20" s="528">
        <v>270600</v>
      </c>
      <c r="K20" s="528">
        <v>270600</v>
      </c>
      <c r="L20" s="528">
        <v>270600</v>
      </c>
      <c r="M20" s="528">
        <v>270600</v>
      </c>
      <c r="N20" s="528">
        <v>270600</v>
      </c>
      <c r="O20" s="528">
        <v>270600</v>
      </c>
      <c r="P20" s="528">
        <v>270600</v>
      </c>
      <c r="Q20" s="530">
        <f t="shared" si="4"/>
        <v>3247200</v>
      </c>
      <c r="R20" s="528"/>
      <c r="S20" s="528"/>
      <c r="T20" s="528"/>
      <c r="U20" s="528"/>
      <c r="V20" s="528"/>
      <c r="W20" s="528"/>
      <c r="X20" s="661"/>
      <c r="Y20" s="663">
        <f t="shared" si="3"/>
        <v>3247200</v>
      </c>
      <c r="Z20" s="781">
        <v>150000</v>
      </c>
      <c r="AA20" s="1045"/>
    </row>
    <row r="21" spans="1:28" ht="15">
      <c r="A21" s="782" t="s">
        <v>819</v>
      </c>
      <c r="B21" s="269" t="s">
        <v>1488</v>
      </c>
      <c r="C21" s="419" t="s">
        <v>128</v>
      </c>
      <c r="D21" s="783">
        <v>1430000</v>
      </c>
      <c r="E21" s="528">
        <v>108000</v>
      </c>
      <c r="F21" s="528">
        <v>114000</v>
      </c>
      <c r="G21" s="528">
        <v>114000</v>
      </c>
      <c r="H21" s="528">
        <v>114000</v>
      </c>
      <c r="I21" s="528">
        <v>114000</v>
      </c>
      <c r="J21" s="528">
        <v>114000</v>
      </c>
      <c r="K21" s="528">
        <v>114000</v>
      </c>
      <c r="L21" s="528">
        <v>114000</v>
      </c>
      <c r="M21" s="528">
        <v>114000</v>
      </c>
      <c r="N21" s="528">
        <v>114000</v>
      </c>
      <c r="O21" s="528">
        <v>114000</v>
      </c>
      <c r="P21" s="528">
        <v>114000</v>
      </c>
      <c r="Q21" s="530">
        <f t="shared" si="4"/>
        <v>1362000</v>
      </c>
      <c r="R21" s="528"/>
      <c r="S21" s="528"/>
      <c r="T21" s="528"/>
      <c r="U21" s="528"/>
      <c r="V21" s="528"/>
      <c r="W21" s="528"/>
      <c r="X21" s="661"/>
      <c r="Y21" s="663">
        <f t="shared" si="3"/>
        <v>1362000</v>
      </c>
      <c r="Z21" s="523">
        <v>150000</v>
      </c>
      <c r="AA21" s="524" t="s">
        <v>168</v>
      </c>
      <c r="AB21" s="793"/>
    </row>
    <row r="22" spans="1:27" ht="15">
      <c r="A22" s="782" t="s">
        <v>820</v>
      </c>
      <c r="B22" s="269" t="s">
        <v>786</v>
      </c>
      <c r="C22" s="419" t="s">
        <v>128</v>
      </c>
      <c r="D22" s="784">
        <v>1421200</v>
      </c>
      <c r="E22" s="528">
        <v>110200</v>
      </c>
      <c r="F22" s="528">
        <v>114000</v>
      </c>
      <c r="G22" s="528">
        <v>114000</v>
      </c>
      <c r="H22" s="528">
        <v>114000</v>
      </c>
      <c r="I22" s="528">
        <v>114000</v>
      </c>
      <c r="J22" s="528">
        <v>114000</v>
      </c>
      <c r="K22" s="528">
        <v>114000</v>
      </c>
      <c r="L22" s="528">
        <v>114000</v>
      </c>
      <c r="M22" s="528">
        <v>114000</v>
      </c>
      <c r="N22" s="528">
        <v>114000</v>
      </c>
      <c r="O22" s="528">
        <v>114000</v>
      </c>
      <c r="P22" s="528">
        <v>114000</v>
      </c>
      <c r="Q22" s="530">
        <f t="shared" si="4"/>
        <v>1364200</v>
      </c>
      <c r="R22" s="528"/>
      <c r="S22" s="528"/>
      <c r="T22" s="528"/>
      <c r="U22" s="528"/>
      <c r="V22" s="528"/>
      <c r="W22" s="528"/>
      <c r="X22" s="661"/>
      <c r="Y22" s="663">
        <f t="shared" si="3"/>
        <v>1364200</v>
      </c>
      <c r="Z22" s="781">
        <v>150000</v>
      </c>
      <c r="AA22" s="958" t="s">
        <v>169</v>
      </c>
    </row>
    <row r="23" spans="1:28" s="607" customFormat="1" ht="15">
      <c r="A23" s="782" t="s">
        <v>821</v>
      </c>
      <c r="B23" s="269" t="s">
        <v>1494</v>
      </c>
      <c r="C23" s="419" t="s">
        <v>128</v>
      </c>
      <c r="D23" s="783">
        <v>1400400</v>
      </c>
      <c r="E23" s="528">
        <v>318900</v>
      </c>
      <c r="F23" s="528">
        <v>400000</v>
      </c>
      <c r="G23" s="528">
        <v>400000</v>
      </c>
      <c r="H23" s="528">
        <v>400000</v>
      </c>
      <c r="I23" s="528">
        <v>400000</v>
      </c>
      <c r="J23" s="528">
        <v>400000</v>
      </c>
      <c r="K23" s="528">
        <v>400000</v>
      </c>
      <c r="L23" s="528">
        <v>400000</v>
      </c>
      <c r="M23" s="528">
        <v>400000</v>
      </c>
      <c r="N23" s="528">
        <v>400000</v>
      </c>
      <c r="O23" s="528">
        <v>400000</v>
      </c>
      <c r="P23" s="528">
        <v>400000</v>
      </c>
      <c r="Q23" s="530">
        <f t="shared" si="4"/>
        <v>4718900</v>
      </c>
      <c r="R23" s="528">
        <v>63800</v>
      </c>
      <c r="S23" s="528"/>
      <c r="T23" s="801"/>
      <c r="U23" s="528">
        <v>17400</v>
      </c>
      <c r="V23" s="528"/>
      <c r="W23" s="528">
        <v>2000000</v>
      </c>
      <c r="X23" s="661"/>
      <c r="Y23" s="663">
        <f t="shared" si="3"/>
        <v>6800100</v>
      </c>
      <c r="Z23" s="781">
        <v>150000</v>
      </c>
      <c r="AA23" s="1063" t="s">
        <v>851</v>
      </c>
      <c r="AB23" s="793"/>
    </row>
    <row r="24" spans="1:28" s="607" customFormat="1" ht="15">
      <c r="A24" s="782" t="s">
        <v>822</v>
      </c>
      <c r="B24" s="269" t="s">
        <v>76</v>
      </c>
      <c r="C24" s="419" t="s">
        <v>76</v>
      </c>
      <c r="D24" s="783">
        <v>1400400</v>
      </c>
      <c r="E24" s="528">
        <v>318900</v>
      </c>
      <c r="F24" s="528"/>
      <c r="G24" s="528"/>
      <c r="H24" s="528"/>
      <c r="I24" s="528">
        <v>318900</v>
      </c>
      <c r="J24" s="528">
        <v>318900</v>
      </c>
      <c r="K24" s="528">
        <v>318900</v>
      </c>
      <c r="L24" s="528">
        <v>318900</v>
      </c>
      <c r="M24" s="528">
        <v>318900</v>
      </c>
      <c r="N24" s="528">
        <v>318900</v>
      </c>
      <c r="O24" s="528">
        <v>318900</v>
      </c>
      <c r="P24" s="528">
        <v>318900</v>
      </c>
      <c r="Q24" s="530">
        <f t="shared" si="4"/>
        <v>2870100</v>
      </c>
      <c r="R24" s="528">
        <v>574000</v>
      </c>
      <c r="S24" s="528"/>
      <c r="T24" s="801"/>
      <c r="U24" s="528">
        <v>156300</v>
      </c>
      <c r="V24" s="528"/>
      <c r="W24" s="528"/>
      <c r="X24" s="661"/>
      <c r="Y24" s="663">
        <f t="shared" si="3"/>
        <v>3600400</v>
      </c>
      <c r="Z24" s="781">
        <v>150000</v>
      </c>
      <c r="AA24" s="781"/>
      <c r="AB24" s="793"/>
    </row>
    <row r="25" spans="1:27" ht="15">
      <c r="A25" s="782" t="s">
        <v>823</v>
      </c>
      <c r="B25" s="269" t="s">
        <v>136</v>
      </c>
      <c r="C25" s="419" t="s">
        <v>128</v>
      </c>
      <c r="D25" s="784">
        <v>1410300</v>
      </c>
      <c r="E25" s="528">
        <v>127500</v>
      </c>
      <c r="F25" s="528">
        <v>127500</v>
      </c>
      <c r="G25" s="528">
        <v>127500</v>
      </c>
      <c r="H25" s="528">
        <v>127500</v>
      </c>
      <c r="I25" s="528">
        <v>127500</v>
      </c>
      <c r="J25" s="528">
        <v>127500</v>
      </c>
      <c r="K25" s="528">
        <v>127500</v>
      </c>
      <c r="L25" s="528">
        <v>127500</v>
      </c>
      <c r="M25" s="528">
        <v>127500</v>
      </c>
      <c r="N25" s="528">
        <v>135300</v>
      </c>
      <c r="O25" s="528">
        <v>135300</v>
      </c>
      <c r="P25" s="528">
        <v>135300</v>
      </c>
      <c r="Q25" s="530">
        <f t="shared" si="4"/>
        <v>1553400</v>
      </c>
      <c r="R25" s="528"/>
      <c r="S25" s="528"/>
      <c r="T25" s="528"/>
      <c r="U25" s="528"/>
      <c r="V25" s="528"/>
      <c r="W25" s="528"/>
      <c r="X25" s="661"/>
      <c r="Y25" s="663">
        <f t="shared" si="3"/>
        <v>1553400</v>
      </c>
      <c r="Z25" s="781">
        <v>150000</v>
      </c>
      <c r="AA25" s="961" t="s">
        <v>170</v>
      </c>
    </row>
    <row r="26" spans="1:27" ht="15">
      <c r="A26" s="782" t="s">
        <v>824</v>
      </c>
      <c r="B26" s="269" t="s">
        <v>850</v>
      </c>
      <c r="C26" s="419" t="s">
        <v>128</v>
      </c>
      <c r="D26" s="784"/>
      <c r="E26" s="528">
        <v>135300</v>
      </c>
      <c r="F26" s="528">
        <v>270600</v>
      </c>
      <c r="G26" s="528">
        <v>270600</v>
      </c>
      <c r="H26" s="528">
        <v>270600</v>
      </c>
      <c r="I26" s="528">
        <v>270600</v>
      </c>
      <c r="J26" s="528">
        <v>270600</v>
      </c>
      <c r="K26" s="528">
        <v>270600</v>
      </c>
      <c r="L26" s="528">
        <v>270600</v>
      </c>
      <c r="M26" s="528">
        <v>270600</v>
      </c>
      <c r="N26" s="528">
        <v>270600</v>
      </c>
      <c r="O26" s="528">
        <v>270600</v>
      </c>
      <c r="P26" s="528">
        <v>270600</v>
      </c>
      <c r="Q26" s="530">
        <f t="shared" si="4"/>
        <v>3111900</v>
      </c>
      <c r="R26" s="528"/>
      <c r="S26" s="528">
        <v>278300</v>
      </c>
      <c r="T26" s="528"/>
      <c r="U26" s="528"/>
      <c r="V26" s="528"/>
      <c r="W26" s="528"/>
      <c r="X26" s="661"/>
      <c r="Y26" s="663">
        <f t="shared" si="3"/>
        <v>3390200</v>
      </c>
      <c r="Z26" s="781">
        <v>150000</v>
      </c>
      <c r="AA26" s="961"/>
    </row>
    <row r="27" spans="1:27" ht="15">
      <c r="A27" s="782" t="s">
        <v>825</v>
      </c>
      <c r="B27" s="269" t="s">
        <v>733</v>
      </c>
      <c r="C27" s="419" t="s">
        <v>128</v>
      </c>
      <c r="D27" s="784">
        <v>1410300</v>
      </c>
      <c r="E27" s="528">
        <v>127500</v>
      </c>
      <c r="F27" s="528">
        <v>127500</v>
      </c>
      <c r="G27" s="528">
        <v>127500</v>
      </c>
      <c r="H27" s="528">
        <v>127500</v>
      </c>
      <c r="I27" s="528">
        <v>127500</v>
      </c>
      <c r="J27" s="528">
        <v>127500</v>
      </c>
      <c r="K27" s="528">
        <v>127500</v>
      </c>
      <c r="L27" s="528">
        <v>127500</v>
      </c>
      <c r="M27" s="528">
        <v>127500</v>
      </c>
      <c r="N27" s="528">
        <v>127500</v>
      </c>
      <c r="O27" s="528">
        <v>127500</v>
      </c>
      <c r="P27" s="528">
        <v>127500</v>
      </c>
      <c r="Q27" s="530">
        <f t="shared" si="4"/>
        <v>1530000</v>
      </c>
      <c r="R27" s="528"/>
      <c r="S27" s="528">
        <v>278300</v>
      </c>
      <c r="T27" s="528"/>
      <c r="U27" s="528"/>
      <c r="V27" s="528"/>
      <c r="W27" s="528"/>
      <c r="X27" s="661"/>
      <c r="Y27" s="663">
        <f t="shared" si="3"/>
        <v>1808300</v>
      </c>
      <c r="Z27" s="781">
        <v>150000</v>
      </c>
      <c r="AA27" s="1043" t="s">
        <v>1184</v>
      </c>
    </row>
    <row r="28" spans="1:28" s="607" customFormat="1" ht="15">
      <c r="A28" s="782" t="s">
        <v>826</v>
      </c>
      <c r="B28" s="268" t="s">
        <v>180</v>
      </c>
      <c r="C28" s="419" t="s">
        <v>72</v>
      </c>
      <c r="D28" s="783">
        <v>1410700</v>
      </c>
      <c r="E28" s="528">
        <v>162300</v>
      </c>
      <c r="F28" s="528">
        <v>162300</v>
      </c>
      <c r="G28" s="528">
        <v>162300</v>
      </c>
      <c r="H28" s="528">
        <v>162300</v>
      </c>
      <c r="I28" s="528">
        <v>162300</v>
      </c>
      <c r="J28" s="528">
        <v>162300</v>
      </c>
      <c r="K28" s="528">
        <v>162300</v>
      </c>
      <c r="L28" s="528">
        <v>162300</v>
      </c>
      <c r="M28" s="528">
        <v>162300</v>
      </c>
      <c r="N28" s="528">
        <v>162300</v>
      </c>
      <c r="O28" s="528">
        <v>162300</v>
      </c>
      <c r="P28" s="528">
        <v>162300</v>
      </c>
      <c r="Q28" s="530">
        <f t="shared" si="4"/>
        <v>1947600</v>
      </c>
      <c r="R28" s="528"/>
      <c r="S28" s="528">
        <f>38650*12</f>
        <v>463800</v>
      </c>
      <c r="T28" s="528"/>
      <c r="U28" s="528"/>
      <c r="V28" s="528"/>
      <c r="W28" s="528"/>
      <c r="X28" s="661"/>
      <c r="Y28" s="663">
        <f t="shared" si="3"/>
        <v>2411400</v>
      </c>
      <c r="Z28" s="781">
        <v>150000</v>
      </c>
      <c r="AA28" s="794"/>
      <c r="AB28" s="793"/>
    </row>
    <row r="29" spans="1:27" ht="15">
      <c r="A29" s="782" t="s">
        <v>827</v>
      </c>
      <c r="B29" s="268" t="s">
        <v>1490</v>
      </c>
      <c r="C29" s="419" t="s">
        <v>72</v>
      </c>
      <c r="D29" s="783">
        <v>1421300</v>
      </c>
      <c r="E29" s="528">
        <v>112100</v>
      </c>
      <c r="F29" s="528">
        <v>114000</v>
      </c>
      <c r="G29" s="528">
        <v>114000</v>
      </c>
      <c r="H29" s="528">
        <v>114000</v>
      </c>
      <c r="I29" s="528">
        <v>114000</v>
      </c>
      <c r="J29" s="528">
        <v>114000</v>
      </c>
      <c r="K29" s="528">
        <v>114000</v>
      </c>
      <c r="L29" s="528">
        <v>114000</v>
      </c>
      <c r="M29" s="528">
        <v>114000</v>
      </c>
      <c r="N29" s="528">
        <v>114000</v>
      </c>
      <c r="O29" s="528">
        <v>114000</v>
      </c>
      <c r="P29" s="528">
        <v>127500</v>
      </c>
      <c r="Q29" s="530">
        <f t="shared" si="4"/>
        <v>1379600</v>
      </c>
      <c r="R29" s="528"/>
      <c r="S29" s="528"/>
      <c r="T29" s="528"/>
      <c r="U29" s="528"/>
      <c r="V29" s="528"/>
      <c r="W29" s="528"/>
      <c r="X29" s="661"/>
      <c r="Y29" s="663">
        <f t="shared" si="3"/>
        <v>1379600</v>
      </c>
      <c r="Z29" s="781">
        <v>150000</v>
      </c>
      <c r="AA29" s="960" t="s">
        <v>172</v>
      </c>
    </row>
    <row r="30" spans="1:27" ht="15">
      <c r="A30" s="782" t="s">
        <v>828</v>
      </c>
      <c r="B30" s="269" t="s">
        <v>1496</v>
      </c>
      <c r="C30" s="419" t="s">
        <v>72</v>
      </c>
      <c r="D30" s="784">
        <v>1400700</v>
      </c>
      <c r="E30" s="528">
        <v>270600</v>
      </c>
      <c r="F30" s="528">
        <v>270600</v>
      </c>
      <c r="G30" s="528">
        <v>270600</v>
      </c>
      <c r="H30" s="528">
        <v>270600</v>
      </c>
      <c r="I30" s="528">
        <v>270600</v>
      </c>
      <c r="J30" s="528">
        <v>270600</v>
      </c>
      <c r="K30" s="528">
        <v>270600</v>
      </c>
      <c r="L30" s="528">
        <v>270600</v>
      </c>
      <c r="M30" s="528">
        <v>270600</v>
      </c>
      <c r="N30" s="528">
        <v>270600</v>
      </c>
      <c r="O30" s="528">
        <v>270600</v>
      </c>
      <c r="P30" s="528">
        <v>270600</v>
      </c>
      <c r="Q30" s="530">
        <f t="shared" si="4"/>
        <v>3247200</v>
      </c>
      <c r="R30" s="528"/>
      <c r="S30" s="528">
        <v>278300</v>
      </c>
      <c r="T30" s="528"/>
      <c r="U30" s="528"/>
      <c r="V30" s="528"/>
      <c r="W30" s="528"/>
      <c r="X30" s="661"/>
      <c r="Y30" s="663">
        <f t="shared" si="3"/>
        <v>3525500</v>
      </c>
      <c r="Z30" s="781">
        <v>150000</v>
      </c>
      <c r="AA30" s="781"/>
    </row>
    <row r="31" spans="1:27" ht="15">
      <c r="A31" s="782" t="s">
        <v>739</v>
      </c>
      <c r="B31" s="269" t="s">
        <v>1492</v>
      </c>
      <c r="C31" s="419" t="s">
        <v>71</v>
      </c>
      <c r="D31" s="784">
        <v>1421400</v>
      </c>
      <c r="E31" s="528">
        <v>127500</v>
      </c>
      <c r="F31" s="528">
        <v>127500</v>
      </c>
      <c r="G31" s="528">
        <v>127500</v>
      </c>
      <c r="H31" s="528">
        <v>127500</v>
      </c>
      <c r="I31" s="528">
        <v>154600</v>
      </c>
      <c r="J31" s="528">
        <v>154600</v>
      </c>
      <c r="K31" s="528">
        <v>154600</v>
      </c>
      <c r="L31" s="528">
        <v>154600</v>
      </c>
      <c r="M31" s="528">
        <v>154600</v>
      </c>
      <c r="N31" s="528">
        <v>154600</v>
      </c>
      <c r="O31" s="528">
        <v>154600</v>
      </c>
      <c r="P31" s="528">
        <v>154600</v>
      </c>
      <c r="Q31" s="530">
        <f t="shared" si="4"/>
        <v>1746800</v>
      </c>
      <c r="R31" s="528"/>
      <c r="S31" s="528"/>
      <c r="T31" s="528"/>
      <c r="U31" s="528"/>
      <c r="V31" s="528"/>
      <c r="W31" s="528"/>
      <c r="X31" s="661"/>
      <c r="Y31" s="663">
        <f t="shared" si="3"/>
        <v>1746800</v>
      </c>
      <c r="Z31" s="781">
        <v>150000</v>
      </c>
      <c r="AA31" s="960" t="s">
        <v>173</v>
      </c>
    </row>
    <row r="32" spans="1:27" ht="15">
      <c r="A32" s="782" t="s">
        <v>740</v>
      </c>
      <c r="B32" s="269" t="s">
        <v>736</v>
      </c>
      <c r="C32" s="419" t="s">
        <v>71</v>
      </c>
      <c r="D32" s="784"/>
      <c r="E32" s="528">
        <v>114000</v>
      </c>
      <c r="F32" s="528">
        <v>114000</v>
      </c>
      <c r="G32" s="528">
        <v>114000</v>
      </c>
      <c r="H32" s="528">
        <v>114000</v>
      </c>
      <c r="I32" s="528">
        <v>114000</v>
      </c>
      <c r="J32" s="528">
        <v>114000</v>
      </c>
      <c r="K32" s="528">
        <v>114000</v>
      </c>
      <c r="L32" s="528">
        <v>114000</v>
      </c>
      <c r="M32" s="528">
        <v>114000</v>
      </c>
      <c r="N32" s="528">
        <v>114000</v>
      </c>
      <c r="O32" s="528">
        <v>114000</v>
      </c>
      <c r="P32" s="528">
        <v>114000</v>
      </c>
      <c r="Q32" s="530">
        <f t="shared" si="4"/>
        <v>1368000</v>
      </c>
      <c r="R32" s="528"/>
      <c r="S32" s="528"/>
      <c r="T32" s="528"/>
      <c r="U32" s="528"/>
      <c r="V32" s="528"/>
      <c r="W32" s="528"/>
      <c r="X32" s="661"/>
      <c r="Y32" s="663">
        <f t="shared" si="3"/>
        <v>1368000</v>
      </c>
      <c r="Z32" s="781">
        <v>150000</v>
      </c>
      <c r="AA32" s="1043" t="s">
        <v>1186</v>
      </c>
    </row>
    <row r="33" spans="1:27" ht="15">
      <c r="A33" s="782" t="s">
        <v>741</v>
      </c>
      <c r="B33" s="269" t="s">
        <v>737</v>
      </c>
      <c r="C33" s="419" t="s">
        <v>71</v>
      </c>
      <c r="D33" s="784"/>
      <c r="E33" s="528">
        <v>146700</v>
      </c>
      <c r="F33" s="528">
        <v>146700</v>
      </c>
      <c r="G33" s="528">
        <v>146700</v>
      </c>
      <c r="H33" s="528">
        <v>146700</v>
      </c>
      <c r="I33" s="528">
        <v>146700</v>
      </c>
      <c r="J33" s="528">
        <v>146700</v>
      </c>
      <c r="K33" s="528">
        <v>146700</v>
      </c>
      <c r="L33" s="528">
        <v>146700</v>
      </c>
      <c r="M33" s="528">
        <v>146700</v>
      </c>
      <c r="N33" s="528">
        <v>146700</v>
      </c>
      <c r="O33" s="528">
        <v>146700</v>
      </c>
      <c r="P33" s="528">
        <v>146700</v>
      </c>
      <c r="Q33" s="530">
        <f t="shared" si="4"/>
        <v>1760400</v>
      </c>
      <c r="R33" s="528"/>
      <c r="S33" s="528"/>
      <c r="T33" s="528"/>
      <c r="U33" s="528"/>
      <c r="V33" s="528"/>
      <c r="W33" s="528"/>
      <c r="X33" s="661"/>
      <c r="Y33" s="663">
        <f t="shared" si="3"/>
        <v>1760400</v>
      </c>
      <c r="Z33" s="781">
        <v>150000</v>
      </c>
      <c r="AA33" s="1043"/>
    </row>
    <row r="34" spans="1:27" s="270" customFormat="1" ht="15">
      <c r="A34" s="782" t="s">
        <v>742</v>
      </c>
      <c r="B34" s="269" t="s">
        <v>70</v>
      </c>
      <c r="C34" s="419" t="s">
        <v>78</v>
      </c>
      <c r="D34" s="784">
        <v>1410500</v>
      </c>
      <c r="E34" s="528">
        <v>143000</v>
      </c>
      <c r="F34" s="528">
        <v>143000</v>
      </c>
      <c r="G34" s="528">
        <v>143000</v>
      </c>
      <c r="H34" s="528">
        <v>143000</v>
      </c>
      <c r="I34" s="528">
        <v>143000</v>
      </c>
      <c r="J34" s="528">
        <v>143000</v>
      </c>
      <c r="K34" s="528">
        <v>143000</v>
      </c>
      <c r="L34" s="528">
        <v>143000</v>
      </c>
      <c r="M34" s="528">
        <v>143000</v>
      </c>
      <c r="N34" s="528">
        <v>143000</v>
      </c>
      <c r="O34" s="528">
        <v>143000</v>
      </c>
      <c r="P34" s="528">
        <v>143000</v>
      </c>
      <c r="Q34" s="530">
        <f t="shared" si="4"/>
        <v>1716000</v>
      </c>
      <c r="R34" s="528">
        <v>343200</v>
      </c>
      <c r="S34" s="528">
        <v>69600</v>
      </c>
      <c r="T34" s="528"/>
      <c r="U34" s="528"/>
      <c r="V34" s="528"/>
      <c r="W34" s="528"/>
      <c r="X34" s="661"/>
      <c r="Y34" s="663">
        <f t="shared" si="3"/>
        <v>2128800</v>
      </c>
      <c r="Z34" s="781">
        <v>150000</v>
      </c>
      <c r="AA34" s="794"/>
    </row>
    <row r="35" spans="1:27" s="270" customFormat="1" ht="15">
      <c r="A35" s="782" t="s">
        <v>743</v>
      </c>
      <c r="B35" s="998" t="s">
        <v>266</v>
      </c>
      <c r="C35" s="419" t="s">
        <v>78</v>
      </c>
      <c r="D35" s="784"/>
      <c r="E35" s="528"/>
      <c r="F35" s="528"/>
      <c r="G35" s="528">
        <v>123700</v>
      </c>
      <c r="H35" s="528">
        <v>123700</v>
      </c>
      <c r="I35" s="528">
        <v>123700</v>
      </c>
      <c r="J35" s="528">
        <v>123700</v>
      </c>
      <c r="K35" s="528">
        <v>123700</v>
      </c>
      <c r="L35" s="528">
        <v>123700</v>
      </c>
      <c r="M35" s="528">
        <v>123700</v>
      </c>
      <c r="N35" s="528">
        <v>123700</v>
      </c>
      <c r="O35" s="528">
        <v>123700</v>
      </c>
      <c r="P35" s="528">
        <v>123700</v>
      </c>
      <c r="Q35" s="530">
        <f t="shared" si="4"/>
        <v>1237000</v>
      </c>
      <c r="R35" s="528"/>
      <c r="S35" s="528">
        <v>556600</v>
      </c>
      <c r="T35" s="528"/>
      <c r="U35" s="528"/>
      <c r="V35" s="528"/>
      <c r="W35" s="528"/>
      <c r="X35" s="661"/>
      <c r="Y35" s="663">
        <f t="shared" si="3"/>
        <v>1793600</v>
      </c>
      <c r="Z35" s="781">
        <v>150000</v>
      </c>
      <c r="AA35" s="794"/>
    </row>
    <row r="36" spans="1:27" ht="15">
      <c r="A36" s="782" t="s">
        <v>744</v>
      </c>
      <c r="B36" s="269" t="s">
        <v>1495</v>
      </c>
      <c r="C36" s="419" t="s">
        <v>71</v>
      </c>
      <c r="D36" s="784">
        <v>1421000</v>
      </c>
      <c r="E36" s="528">
        <v>108000</v>
      </c>
      <c r="F36" s="528">
        <v>114000</v>
      </c>
      <c r="G36" s="528">
        <v>114000</v>
      </c>
      <c r="H36" s="528">
        <v>114000</v>
      </c>
      <c r="I36" s="528">
        <v>114000</v>
      </c>
      <c r="J36" s="528">
        <v>114000</v>
      </c>
      <c r="K36" s="528">
        <v>114000</v>
      </c>
      <c r="L36" s="528">
        <v>114000</v>
      </c>
      <c r="M36" s="528">
        <v>114000</v>
      </c>
      <c r="N36" s="528">
        <v>114000</v>
      </c>
      <c r="O36" s="528">
        <v>114000</v>
      </c>
      <c r="P36" s="528">
        <v>114000</v>
      </c>
      <c r="Q36" s="530">
        <f t="shared" si="4"/>
        <v>1362000</v>
      </c>
      <c r="R36" s="528"/>
      <c r="S36" s="528"/>
      <c r="T36" s="528"/>
      <c r="U36" s="528"/>
      <c r="V36" s="528"/>
      <c r="W36" s="528"/>
      <c r="X36" s="661"/>
      <c r="Y36" s="663">
        <f t="shared" si="3"/>
        <v>1362000</v>
      </c>
      <c r="Z36" s="781">
        <v>150000</v>
      </c>
      <c r="AA36" s="794"/>
    </row>
    <row r="37" spans="1:27" ht="15">
      <c r="A37" s="782" t="s">
        <v>1316</v>
      </c>
      <c r="B37" s="998" t="s">
        <v>1315</v>
      </c>
      <c r="C37" s="1068" t="s">
        <v>1315</v>
      </c>
      <c r="D37" s="784"/>
      <c r="E37" s="528"/>
      <c r="F37" s="528"/>
      <c r="G37" s="528"/>
      <c r="H37" s="528">
        <v>120000</v>
      </c>
      <c r="I37" s="528">
        <v>120000</v>
      </c>
      <c r="J37" s="528">
        <v>120000</v>
      </c>
      <c r="K37" s="528">
        <v>120000</v>
      </c>
      <c r="L37" s="528">
        <v>120000</v>
      </c>
      <c r="M37" s="528">
        <v>120000</v>
      </c>
      <c r="N37" s="528">
        <v>120000</v>
      </c>
      <c r="O37" s="528">
        <v>120000</v>
      </c>
      <c r="P37" s="528">
        <v>120000</v>
      </c>
      <c r="Q37" s="530">
        <f t="shared" si="4"/>
        <v>1080000</v>
      </c>
      <c r="R37" s="528"/>
      <c r="S37" s="528"/>
      <c r="T37" s="528"/>
      <c r="U37" s="528"/>
      <c r="V37" s="528"/>
      <c r="W37" s="528"/>
      <c r="X37" s="661"/>
      <c r="Y37" s="1044"/>
      <c r="Z37" s="781"/>
      <c r="AA37" s="794"/>
    </row>
    <row r="38" spans="1:27" ht="15">
      <c r="A38" s="782"/>
      <c r="B38" s="531" t="s">
        <v>129</v>
      </c>
      <c r="C38" s="419"/>
      <c r="D38" s="541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30">
        <f aca="true" t="shared" si="5" ref="Q38:Z38">SUM(Q2:Q36)</f>
        <v>71497800</v>
      </c>
      <c r="R38" s="530">
        <f t="shared" si="5"/>
        <v>1462500</v>
      </c>
      <c r="S38" s="530">
        <f t="shared" si="5"/>
        <v>4615100</v>
      </c>
      <c r="T38" s="530">
        <f t="shared" si="5"/>
        <v>0</v>
      </c>
      <c r="U38" s="530">
        <f t="shared" si="5"/>
        <v>173700</v>
      </c>
      <c r="V38" s="530">
        <f t="shared" si="5"/>
        <v>0</v>
      </c>
      <c r="W38" s="530">
        <f t="shared" si="5"/>
        <v>2000000</v>
      </c>
      <c r="X38" s="530">
        <f t="shared" si="5"/>
        <v>0</v>
      </c>
      <c r="Y38" s="530">
        <f t="shared" si="5"/>
        <v>79749100</v>
      </c>
      <c r="Z38" s="530">
        <f t="shared" si="5"/>
        <v>5250000</v>
      </c>
      <c r="AA38" s="781"/>
    </row>
    <row r="39" spans="1:27" ht="15">
      <c r="A39" s="1042" t="s">
        <v>781</v>
      </c>
      <c r="B39" s="269" t="s">
        <v>735</v>
      </c>
      <c r="C39" s="419"/>
      <c r="D39" s="541"/>
      <c r="E39" s="528">
        <v>105000</v>
      </c>
      <c r="F39" s="528">
        <v>105000</v>
      </c>
      <c r="G39" s="528">
        <v>105000</v>
      </c>
      <c r="H39" s="528">
        <v>105000</v>
      </c>
      <c r="I39" s="528">
        <v>105000</v>
      </c>
      <c r="J39" s="528">
        <v>105000</v>
      </c>
      <c r="K39" s="528">
        <v>105000</v>
      </c>
      <c r="L39" s="528">
        <v>105000</v>
      </c>
      <c r="M39" s="528">
        <v>105000</v>
      </c>
      <c r="N39" s="528">
        <v>105000</v>
      </c>
      <c r="O39" s="528">
        <v>105000</v>
      </c>
      <c r="P39" s="528">
        <v>105000</v>
      </c>
      <c r="Q39" s="530">
        <f>SUBTOTAL(9,E39:P39)</f>
        <v>1260000</v>
      </c>
      <c r="R39" s="530"/>
      <c r="S39" s="530"/>
      <c r="T39" s="530"/>
      <c r="U39" s="530"/>
      <c r="V39" s="530"/>
      <c r="W39" s="530"/>
      <c r="X39" s="789"/>
      <c r="Y39" s="663">
        <f aca="true" t="shared" si="6" ref="Y39:Y47">+Q39+R39+S39+T39+U39+V39+W39+X39</f>
        <v>1260000</v>
      </c>
      <c r="Z39" s="530"/>
      <c r="AA39" s="781"/>
    </row>
    <row r="40" spans="1:27" ht="15">
      <c r="A40" s="1042" t="s">
        <v>782</v>
      </c>
      <c r="B40" s="269" t="s">
        <v>738</v>
      </c>
      <c r="C40" s="419"/>
      <c r="D40" s="541"/>
      <c r="E40" s="528">
        <v>160000</v>
      </c>
      <c r="F40" s="528">
        <v>160000</v>
      </c>
      <c r="G40" s="528">
        <v>160000</v>
      </c>
      <c r="H40" s="528">
        <v>160000</v>
      </c>
      <c r="I40" s="528">
        <v>160000</v>
      </c>
      <c r="J40" s="528">
        <v>160000</v>
      </c>
      <c r="K40" s="528">
        <v>160000</v>
      </c>
      <c r="L40" s="528">
        <v>160000</v>
      </c>
      <c r="M40" s="528">
        <v>160000</v>
      </c>
      <c r="N40" s="528">
        <v>160000</v>
      </c>
      <c r="O40" s="528">
        <v>160000</v>
      </c>
      <c r="P40" s="528">
        <v>160000</v>
      </c>
      <c r="Q40" s="530">
        <f>SUBTOTAL(9,E40:P40)</f>
        <v>1920000</v>
      </c>
      <c r="R40" s="530"/>
      <c r="S40" s="530"/>
      <c r="T40" s="530"/>
      <c r="U40" s="530"/>
      <c r="V40" s="530"/>
      <c r="W40" s="530"/>
      <c r="X40" s="789"/>
      <c r="Y40" s="663">
        <f t="shared" si="6"/>
        <v>1920000</v>
      </c>
      <c r="Z40" s="530"/>
      <c r="AA40" s="781"/>
    </row>
    <row r="41" spans="1:27" ht="15">
      <c r="A41" s="1042" t="s">
        <v>783</v>
      </c>
      <c r="B41" s="998" t="s">
        <v>734</v>
      </c>
      <c r="C41" s="419"/>
      <c r="D41" s="541"/>
      <c r="E41" s="528">
        <v>120000</v>
      </c>
      <c r="F41" s="528">
        <v>120000</v>
      </c>
      <c r="G41" s="528">
        <v>120000</v>
      </c>
      <c r="H41" s="528">
        <v>120000</v>
      </c>
      <c r="I41" s="528">
        <v>120000</v>
      </c>
      <c r="J41" s="528">
        <v>120000</v>
      </c>
      <c r="K41" s="528">
        <v>120000</v>
      </c>
      <c r="L41" s="528">
        <v>120000</v>
      </c>
      <c r="M41" s="528">
        <v>120000</v>
      </c>
      <c r="N41" s="528">
        <v>120000</v>
      </c>
      <c r="O41" s="528">
        <v>120000</v>
      </c>
      <c r="P41" s="528">
        <v>120000</v>
      </c>
      <c r="Q41" s="530">
        <f>SUBTOTAL(9,E41:P41)</f>
        <v>1440000</v>
      </c>
      <c r="R41" s="530"/>
      <c r="S41" s="530"/>
      <c r="T41" s="530"/>
      <c r="U41" s="530"/>
      <c r="V41" s="530"/>
      <c r="W41" s="530"/>
      <c r="X41" s="789"/>
      <c r="Y41" s="663">
        <f t="shared" si="6"/>
        <v>1440000</v>
      </c>
      <c r="Z41" s="530"/>
      <c r="AA41" s="781"/>
    </row>
    <row r="42" spans="1:27" ht="15">
      <c r="A42" s="1042" t="s">
        <v>1065</v>
      </c>
      <c r="B42" s="800" t="s">
        <v>124</v>
      </c>
      <c r="C42" s="801"/>
      <c r="D42" s="802" t="s">
        <v>462</v>
      </c>
      <c r="E42" s="803">
        <v>160000</v>
      </c>
      <c r="F42" s="803">
        <v>160000</v>
      </c>
      <c r="G42" s="803">
        <v>160000</v>
      </c>
      <c r="H42" s="803">
        <v>160000</v>
      </c>
      <c r="I42" s="803">
        <v>160000</v>
      </c>
      <c r="J42" s="803">
        <v>160000</v>
      </c>
      <c r="K42" s="803">
        <v>160000</v>
      </c>
      <c r="L42" s="803">
        <v>160000</v>
      </c>
      <c r="M42" s="803">
        <v>160000</v>
      </c>
      <c r="N42" s="803">
        <v>160000</v>
      </c>
      <c r="O42" s="803">
        <v>160000</v>
      </c>
      <c r="P42" s="803">
        <v>160000</v>
      </c>
      <c r="Q42" s="530">
        <f>SUBTOTAL(9,E42:P42)</f>
        <v>1920000</v>
      </c>
      <c r="R42" s="803"/>
      <c r="S42" s="780"/>
      <c r="T42" s="803"/>
      <c r="U42" s="803"/>
      <c r="V42" s="803"/>
      <c r="W42" s="803"/>
      <c r="X42" s="806"/>
      <c r="Y42" s="663">
        <f t="shared" si="6"/>
        <v>1920000</v>
      </c>
      <c r="Z42" s="781">
        <v>150000</v>
      </c>
      <c r="AA42" s="796"/>
    </row>
    <row r="43" spans="1:27" ht="15">
      <c r="A43" s="782"/>
      <c r="B43" s="804" t="s">
        <v>146</v>
      </c>
      <c r="C43" s="801"/>
      <c r="D43" s="805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530">
        <f>SUM(Q39:Q42)</f>
        <v>6540000</v>
      </c>
      <c r="R43" s="803">
        <f aca="true" t="shared" si="7" ref="R43:X43">SUM(R42)</f>
        <v>0</v>
      </c>
      <c r="S43" s="803">
        <f t="shared" si="7"/>
        <v>0</v>
      </c>
      <c r="T43" s="803">
        <f t="shared" si="7"/>
        <v>0</v>
      </c>
      <c r="U43" s="803">
        <f t="shared" si="7"/>
        <v>0</v>
      </c>
      <c r="V43" s="803">
        <f t="shared" si="7"/>
        <v>0</v>
      </c>
      <c r="W43" s="803">
        <f t="shared" si="7"/>
        <v>0</v>
      </c>
      <c r="X43" s="803">
        <f t="shared" si="7"/>
        <v>0</v>
      </c>
      <c r="Y43" s="663">
        <f t="shared" si="6"/>
        <v>6540000</v>
      </c>
      <c r="Z43" s="942">
        <f>SUM(Z42)</f>
        <v>150000</v>
      </c>
      <c r="AA43" s="781"/>
    </row>
    <row r="44" spans="1:27" ht="15">
      <c r="A44" s="782"/>
      <c r="B44" s="800" t="s">
        <v>123</v>
      </c>
      <c r="C44" s="801"/>
      <c r="D44" s="805"/>
      <c r="E44" s="803">
        <v>174000</v>
      </c>
      <c r="F44" s="803">
        <v>174000</v>
      </c>
      <c r="G44" s="803">
        <v>174000</v>
      </c>
      <c r="H44" s="803">
        <v>174000</v>
      </c>
      <c r="I44" s="803">
        <v>174000</v>
      </c>
      <c r="J44" s="803">
        <v>174000</v>
      </c>
      <c r="K44" s="803">
        <v>174000</v>
      </c>
      <c r="L44" s="803">
        <v>174000</v>
      </c>
      <c r="M44" s="803">
        <v>174000</v>
      </c>
      <c r="N44" s="803">
        <v>174000</v>
      </c>
      <c r="O44" s="803">
        <v>174000</v>
      </c>
      <c r="P44" s="803">
        <v>174000</v>
      </c>
      <c r="Q44" s="530">
        <f>SUBTOTAL(9,E44:P44)</f>
        <v>2088000</v>
      </c>
      <c r="R44" s="803"/>
      <c r="S44" s="780"/>
      <c r="T44" s="803"/>
      <c r="U44" s="803"/>
      <c r="V44" s="803"/>
      <c r="W44" s="803"/>
      <c r="X44" s="806"/>
      <c r="Y44" s="663">
        <f t="shared" si="6"/>
        <v>2088000</v>
      </c>
      <c r="Z44" s="781"/>
      <c r="AA44" s="781"/>
    </row>
    <row r="45" spans="1:27" ht="15">
      <c r="A45" s="782"/>
      <c r="B45" s="800" t="s">
        <v>1015</v>
      </c>
      <c r="C45" s="801"/>
      <c r="D45" s="943" t="s">
        <v>143</v>
      </c>
      <c r="E45" s="803">
        <v>130690</v>
      </c>
      <c r="F45" s="803">
        <v>130690</v>
      </c>
      <c r="G45" s="803">
        <v>130690</v>
      </c>
      <c r="H45" s="803">
        <v>130690</v>
      </c>
      <c r="I45" s="803">
        <v>130690</v>
      </c>
      <c r="J45" s="803">
        <v>130690</v>
      </c>
      <c r="K45" s="803">
        <v>130690</v>
      </c>
      <c r="L45" s="803">
        <v>130690</v>
      </c>
      <c r="M45" s="803">
        <v>130690</v>
      </c>
      <c r="N45" s="803">
        <v>130690</v>
      </c>
      <c r="O45" s="803">
        <v>130690</v>
      </c>
      <c r="P45" s="803">
        <v>130690</v>
      </c>
      <c r="Q45" s="530">
        <f>SUBTOTAL(9,E45:P45)</f>
        <v>1568280</v>
      </c>
      <c r="R45" s="803"/>
      <c r="S45" s="780"/>
      <c r="T45" s="803"/>
      <c r="U45" s="803"/>
      <c r="V45" s="803"/>
      <c r="W45" s="803"/>
      <c r="X45" s="806"/>
      <c r="Y45" s="663">
        <f t="shared" si="6"/>
        <v>1568280</v>
      </c>
      <c r="Z45" s="781">
        <f>150000*0.3</f>
        <v>45000</v>
      </c>
      <c r="AA45" s="944"/>
    </row>
    <row r="46" spans="1:27" ht="15">
      <c r="A46" s="782"/>
      <c r="B46" s="800"/>
      <c r="C46" s="801"/>
      <c r="D46" s="805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530"/>
      <c r="R46" s="803"/>
      <c r="S46" s="780"/>
      <c r="T46" s="803"/>
      <c r="U46" s="803"/>
      <c r="V46" s="803"/>
      <c r="W46" s="803"/>
      <c r="X46" s="806"/>
      <c r="Y46" s="663">
        <f t="shared" si="6"/>
        <v>0</v>
      </c>
      <c r="Z46" s="781"/>
      <c r="AA46" s="781"/>
    </row>
    <row r="47" spans="2:27" ht="15">
      <c r="B47" s="804" t="s">
        <v>147</v>
      </c>
      <c r="C47" s="801"/>
      <c r="D47" s="805"/>
      <c r="E47" s="803"/>
      <c r="F47" s="803"/>
      <c r="G47" s="803"/>
      <c r="H47" s="803"/>
      <c r="I47" s="803"/>
      <c r="J47" s="803"/>
      <c r="K47" s="803"/>
      <c r="L47" s="803"/>
      <c r="M47" s="803"/>
      <c r="N47" s="803"/>
      <c r="O47" s="803"/>
      <c r="P47" s="803"/>
      <c r="Q47" s="530">
        <f aca="true" t="shared" si="8" ref="Q47:X47">SUM(Q44:Q46)</f>
        <v>3656280</v>
      </c>
      <c r="R47" s="803">
        <f t="shared" si="8"/>
        <v>0</v>
      </c>
      <c r="S47" s="803">
        <f t="shared" si="8"/>
        <v>0</v>
      </c>
      <c r="T47" s="803">
        <f t="shared" si="8"/>
        <v>0</v>
      </c>
      <c r="U47" s="803">
        <f t="shared" si="8"/>
        <v>0</v>
      </c>
      <c r="V47" s="803">
        <f t="shared" si="8"/>
        <v>0</v>
      </c>
      <c r="W47" s="803">
        <f t="shared" si="8"/>
        <v>0</v>
      </c>
      <c r="X47" s="803">
        <f t="shared" si="8"/>
        <v>0</v>
      </c>
      <c r="Y47" s="663">
        <f t="shared" si="6"/>
        <v>3656280</v>
      </c>
      <c r="Z47" s="781">
        <f>SUM(Z44:Z46)</f>
        <v>45000</v>
      </c>
      <c r="AA47" s="781"/>
    </row>
    <row r="48" spans="2:27" ht="15">
      <c r="B48" s="945"/>
      <c r="C48" s="946"/>
      <c r="D48" s="947"/>
      <c r="E48" s="948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8"/>
      <c r="R48" s="946"/>
      <c r="S48" s="949"/>
      <c r="T48" s="946"/>
      <c r="U48" s="946"/>
      <c r="V48" s="946"/>
      <c r="W48" s="946"/>
      <c r="X48" s="946"/>
      <c r="Y48" s="946"/>
      <c r="Z48" s="793"/>
      <c r="AA48" s="793"/>
    </row>
    <row r="49" spans="2:27" ht="15">
      <c r="B49" s="945"/>
      <c r="C49" s="946"/>
      <c r="D49" s="947"/>
      <c r="E49" s="948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8"/>
      <c r="R49" s="946"/>
      <c r="S49" s="949"/>
      <c r="T49" s="946"/>
      <c r="U49" s="946"/>
      <c r="V49" s="946"/>
      <c r="W49" s="950" t="s">
        <v>470</v>
      </c>
      <c r="X49" s="951" t="e">
        <f>#REF!+#REF!+#REF!+#REF!+#REF!+#REF!+#REF!+#REF!+#REF!+#REF!+#REF!+Y31+#REF!+#REF!+#REF!+#REF!+#REF!</f>
        <v>#REF!</v>
      </c>
      <c r="Y49" s="951" t="e">
        <f>Y38+Y43+#REF!+Y47</f>
        <v>#REF!</v>
      </c>
      <c r="Z49" s="951" t="e">
        <f>Z38+Z43+#REF!+Z47+#REF!</f>
        <v>#REF!</v>
      </c>
      <c r="AA49" s="952"/>
    </row>
    <row r="50" spans="2:27" ht="15">
      <c r="B50" s="945"/>
      <c r="C50" s="946"/>
      <c r="D50" s="947"/>
      <c r="E50" s="948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8"/>
      <c r="R50" s="946"/>
      <c r="S50" s="949"/>
      <c r="T50" s="946"/>
      <c r="U50" s="946"/>
      <c r="V50" s="946"/>
      <c r="W50" s="946"/>
      <c r="X50" s="946"/>
      <c r="Y50" s="951" t="e">
        <f>ROUND(Y49,-3)/1000</f>
        <v>#REF!</v>
      </c>
      <c r="Z50" s="951" t="e">
        <f>ROUND(Z49,-3)/1000</f>
        <v>#REF!</v>
      </c>
      <c r="AA50" s="793"/>
    </row>
  </sheetData>
  <sheetProtection/>
  <autoFilter ref="B1:C47"/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23" max="5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49"/>
  <sheetViews>
    <sheetView view="pageBreakPreview" zoomScaleNormal="90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53.7109375" style="0" customWidth="1"/>
    <col min="3" max="3" width="16.00390625" style="0" customWidth="1"/>
    <col min="4" max="4" width="14.8515625" style="0" customWidth="1"/>
    <col min="5" max="5" width="14.140625" style="0" bestFit="1" customWidth="1"/>
    <col min="6" max="6" width="9.8515625" style="0" bestFit="1" customWidth="1"/>
    <col min="7" max="7" width="12.28125" style="0" bestFit="1" customWidth="1"/>
    <col min="8" max="8" width="9.28125" style="0" bestFit="1" customWidth="1"/>
  </cols>
  <sheetData>
    <row r="1" ht="18">
      <c r="B1" s="94" t="s">
        <v>137</v>
      </c>
    </row>
    <row r="2" ht="18">
      <c r="B2" s="350" t="s">
        <v>379</v>
      </c>
    </row>
    <row r="4" spans="1:5" ht="15">
      <c r="A4" s="1257" t="s">
        <v>163</v>
      </c>
      <c r="B4" s="1257"/>
      <c r="C4" s="1257"/>
      <c r="D4" s="1257"/>
      <c r="E4" s="1257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1129" t="s">
        <v>27</v>
      </c>
      <c r="B6" s="1129"/>
      <c r="C6" s="1129"/>
      <c r="D6" s="1129"/>
      <c r="E6" s="1129"/>
    </row>
    <row r="7" spans="1:5" ht="12.75">
      <c r="A7" s="1129"/>
      <c r="B7" s="1129"/>
      <c r="C7" s="1129"/>
      <c r="D7" s="1129"/>
      <c r="E7" s="1129"/>
    </row>
    <row r="8" spans="1:5" ht="12.75">
      <c r="A8" s="41"/>
      <c r="C8" s="8"/>
      <c r="D8" s="8" t="s">
        <v>28</v>
      </c>
      <c r="E8" s="8" t="s">
        <v>29</v>
      </c>
    </row>
    <row r="9" spans="1:5" ht="12.75">
      <c r="A9" s="41"/>
      <c r="C9" s="8"/>
      <c r="D9" s="8"/>
      <c r="E9" s="8"/>
    </row>
    <row r="10" spans="1:5" ht="12.75">
      <c r="A10" s="25" t="s">
        <v>1497</v>
      </c>
      <c r="B10" s="25" t="s">
        <v>1037</v>
      </c>
      <c r="C10" s="33"/>
      <c r="D10" s="33"/>
      <c r="E10" s="33"/>
    </row>
    <row r="11" spans="1:5" ht="12.75">
      <c r="A11" s="14">
        <v>511111</v>
      </c>
      <c r="B11" s="14" t="s">
        <v>30</v>
      </c>
      <c r="C11" s="15">
        <f>Bérek2013!Q34+Bérek2013!Q35</f>
        <v>2953000</v>
      </c>
      <c r="D11" s="15"/>
      <c r="E11" s="15">
        <f>ROUND(C11,-3)/1000</f>
        <v>2953</v>
      </c>
    </row>
    <row r="12" spans="1:5" ht="12.75">
      <c r="A12" s="14">
        <v>511121</v>
      </c>
      <c r="B12" s="14" t="s">
        <v>31</v>
      </c>
      <c r="C12" s="15">
        <f>Bérek2013!R34+Bérek2013!R35</f>
        <v>343200</v>
      </c>
      <c r="D12" s="15"/>
      <c r="E12" s="15">
        <f>ROUND(C12,-3)/1000</f>
        <v>343</v>
      </c>
    </row>
    <row r="13" spans="1:5" ht="12.75">
      <c r="A13" s="14">
        <v>511131</v>
      </c>
      <c r="B13" s="14" t="s">
        <v>33</v>
      </c>
      <c r="C13" s="15">
        <f>Bérek2013!S34+Bérek2013!S35</f>
        <v>626200</v>
      </c>
      <c r="D13" s="15"/>
      <c r="E13" s="15">
        <f>ROUND(C13,-3)/1000</f>
        <v>626</v>
      </c>
    </row>
    <row r="14" spans="1:5" s="10" customFormat="1" ht="13.5" customHeight="1">
      <c r="A14" s="14">
        <v>51114212</v>
      </c>
      <c r="B14" s="42" t="s">
        <v>1476</v>
      </c>
      <c r="C14" s="15">
        <v>0</v>
      </c>
      <c r="D14" s="345"/>
      <c r="E14" s="15">
        <f>ROUND(C14,-3)/1000</f>
        <v>0</v>
      </c>
    </row>
    <row r="15" spans="1:5" ht="12.75">
      <c r="A15" s="546">
        <v>511</v>
      </c>
      <c r="B15" s="547" t="s">
        <v>1229</v>
      </c>
      <c r="C15" s="35">
        <f>SUM(C11:C14)</f>
        <v>3922400</v>
      </c>
      <c r="D15" s="35"/>
      <c r="E15" s="35">
        <f>ROUND(C15,-3)/1000</f>
        <v>3922</v>
      </c>
    </row>
    <row r="16" spans="1:5" s="10" customFormat="1" ht="14.25" customHeight="1">
      <c r="A16" s="546">
        <v>512</v>
      </c>
      <c r="B16" s="547" t="s">
        <v>95</v>
      </c>
      <c r="C16" s="451">
        <v>0</v>
      </c>
      <c r="D16" s="451"/>
      <c r="E16" s="451">
        <v>0</v>
      </c>
    </row>
    <row r="17" spans="1:5" s="10" customFormat="1" ht="14.25" customHeight="1">
      <c r="A17" s="467">
        <v>51311</v>
      </c>
      <c r="B17" s="14" t="s">
        <v>1014</v>
      </c>
      <c r="C17" s="15">
        <v>0</v>
      </c>
      <c r="D17" s="15"/>
      <c r="E17" s="15">
        <f>+ROUND(C17,-3)/1000</f>
        <v>0</v>
      </c>
    </row>
    <row r="18" spans="1:5" s="10" customFormat="1" ht="14.25" customHeight="1">
      <c r="A18" s="467">
        <v>51312</v>
      </c>
      <c r="B18" s="14" t="s">
        <v>394</v>
      </c>
      <c r="C18" s="15">
        <v>0</v>
      </c>
      <c r="D18" s="15"/>
      <c r="E18" s="15">
        <f>+ROUND(C18,-3)/1000</f>
        <v>0</v>
      </c>
    </row>
    <row r="19" spans="1:5" ht="12.75">
      <c r="A19" s="14">
        <v>513131</v>
      </c>
      <c r="B19" s="14" t="s">
        <v>35</v>
      </c>
      <c r="C19" s="15">
        <v>0</v>
      </c>
      <c r="D19" s="15"/>
      <c r="E19" s="18">
        <v>0</v>
      </c>
    </row>
    <row r="20" spans="1:5" ht="12.75">
      <c r="A20" s="14">
        <v>513191</v>
      </c>
      <c r="B20" s="14" t="s">
        <v>37</v>
      </c>
      <c r="C20" s="15">
        <v>0</v>
      </c>
      <c r="D20" s="15"/>
      <c r="E20" s="15"/>
    </row>
    <row r="21" spans="1:5" ht="12.75">
      <c r="A21" s="50"/>
      <c r="B21" s="454" t="s">
        <v>36</v>
      </c>
      <c r="C21" s="43"/>
      <c r="D21" s="43"/>
      <c r="E21" s="15">
        <f>ROUND(C21,-3)/1000</f>
        <v>0</v>
      </c>
    </row>
    <row r="22" spans="1:5" ht="12.75">
      <c r="A22" s="546">
        <v>513</v>
      </c>
      <c r="B22" s="547" t="s">
        <v>790</v>
      </c>
      <c r="C22" s="451"/>
      <c r="D22" s="451"/>
      <c r="E22" s="451">
        <f>SUM(E17:E20)</f>
        <v>0</v>
      </c>
    </row>
    <row r="23" spans="1:5" ht="12.75">
      <c r="A23" s="14">
        <v>514131</v>
      </c>
      <c r="B23" s="14" t="s">
        <v>39</v>
      </c>
      <c r="C23" s="15">
        <f>56*9*20*12</f>
        <v>120960</v>
      </c>
      <c r="D23" s="15"/>
      <c r="E23" s="15">
        <f>ROUND(C23,-3)/1000</f>
        <v>121</v>
      </c>
    </row>
    <row r="24" spans="1:5" ht="12.75">
      <c r="A24" s="14">
        <v>514141</v>
      </c>
      <c r="B24" s="14" t="s">
        <v>40</v>
      </c>
      <c r="C24" s="15">
        <f>Bérek2013!Z34</f>
        <v>150000</v>
      </c>
      <c r="D24" s="15"/>
      <c r="E24" s="18">
        <f>+ROUND(C24,-3)/1000</f>
        <v>150</v>
      </c>
    </row>
    <row r="25" spans="1:5" ht="13.5" thickBot="1">
      <c r="A25" s="548">
        <v>514</v>
      </c>
      <c r="B25" s="549" t="s">
        <v>94</v>
      </c>
      <c r="C25" s="550"/>
      <c r="D25" s="550"/>
      <c r="E25" s="550">
        <f>SUM(E23:E24)</f>
        <v>271</v>
      </c>
    </row>
    <row r="26" spans="1:5" ht="16.5" thickBot="1">
      <c r="A26" s="1261" t="s">
        <v>1503</v>
      </c>
      <c r="B26" s="1262"/>
      <c r="C26" s="1262"/>
      <c r="D26" s="1262"/>
      <c r="E26" s="449">
        <f>+E15+E16+E22+E25</f>
        <v>4193</v>
      </c>
    </row>
    <row r="27" spans="1:5" ht="12.75">
      <c r="A27" s="65"/>
      <c r="B27" s="65"/>
      <c r="C27" s="66"/>
      <c r="D27" s="66"/>
      <c r="E27" s="66"/>
    </row>
    <row r="28" spans="1:5" ht="12.75">
      <c r="A28" s="65"/>
      <c r="B28" s="65"/>
      <c r="C28" s="66"/>
      <c r="D28" s="66"/>
      <c r="E28" s="66"/>
    </row>
    <row r="29" spans="1:5" ht="12.75">
      <c r="A29" s="1134" t="s">
        <v>1504</v>
      </c>
      <c r="B29" s="1263"/>
      <c r="C29" s="1263"/>
      <c r="D29" s="1263"/>
      <c r="E29" s="1263"/>
    </row>
    <row r="30" spans="1:5" ht="13.5" thickBot="1">
      <c r="A30" s="455">
        <v>53112</v>
      </c>
      <c r="B30" s="455" t="s">
        <v>1212</v>
      </c>
      <c r="C30" s="459"/>
      <c r="D30" s="457"/>
      <c r="E30" s="456">
        <f>+(E15+E16+E17+E18+E19)*0.27</f>
        <v>1058.94</v>
      </c>
    </row>
    <row r="31" spans="1:5" ht="16.5" thickBot="1">
      <c r="A31" s="1261" t="s">
        <v>992</v>
      </c>
      <c r="B31" s="1262"/>
      <c r="C31" s="1262"/>
      <c r="D31" s="1262"/>
      <c r="E31" s="449">
        <f>+E30</f>
        <v>1058.94</v>
      </c>
    </row>
    <row r="32" spans="1:5" ht="12.75">
      <c r="A32" s="65"/>
      <c r="B32" s="65"/>
      <c r="C32" s="66"/>
      <c r="D32" s="66"/>
      <c r="E32" s="66"/>
    </row>
    <row r="33" spans="1:5" ht="12.75">
      <c r="A33" s="1129" t="s">
        <v>1506</v>
      </c>
      <c r="B33" s="1129"/>
      <c r="C33" s="1129"/>
      <c r="D33" s="1129"/>
      <c r="E33" s="1129"/>
    </row>
    <row r="34" spans="3:5" ht="12.75">
      <c r="C34" s="8"/>
      <c r="D34" s="8"/>
      <c r="E34" s="8"/>
    </row>
    <row r="35" spans="1:5" ht="12.75">
      <c r="A35" s="12">
        <v>56211</v>
      </c>
      <c r="B35" s="12" t="s">
        <v>1006</v>
      </c>
      <c r="C35" s="12"/>
      <c r="D35" s="35"/>
      <c r="E35" s="811">
        <v>0</v>
      </c>
    </row>
    <row r="36" spans="1:5" s="13" customFormat="1" ht="12.75">
      <c r="A36" s="12">
        <v>57211</v>
      </c>
      <c r="B36" s="12" t="s">
        <v>1213</v>
      </c>
      <c r="C36" s="12"/>
      <c r="D36" s="35"/>
      <c r="E36" s="35">
        <f>E24*1.19*0.26</f>
        <v>46.410000000000004</v>
      </c>
    </row>
    <row r="37" spans="1:5" ht="13.5" thickBot="1">
      <c r="A37" s="455">
        <v>57213</v>
      </c>
      <c r="B37" s="455" t="s">
        <v>798</v>
      </c>
      <c r="C37" s="456"/>
      <c r="D37" s="456"/>
      <c r="E37" s="456">
        <f>+'rehabilitációs hj '!E17</f>
        <v>96</v>
      </c>
    </row>
    <row r="38" spans="1:5" ht="16.5" thickBot="1">
      <c r="A38" s="1261" t="s">
        <v>162</v>
      </c>
      <c r="B38" s="1262"/>
      <c r="C38" s="1262"/>
      <c r="D38" s="1262"/>
      <c r="E38" s="460">
        <f>+E37+E35+E36</f>
        <v>142.41</v>
      </c>
    </row>
    <row r="39" spans="1:5" ht="16.5" thickBot="1">
      <c r="A39" s="1264" t="s">
        <v>972</v>
      </c>
      <c r="B39" s="1265"/>
      <c r="C39" s="1265"/>
      <c r="D39" s="1265"/>
      <c r="E39" s="461">
        <f>E26+E31+E38</f>
        <v>5394.35</v>
      </c>
    </row>
    <row r="40" spans="1:5" s="462" customFormat="1" ht="15.75">
      <c r="A40" s="1048"/>
      <c r="B40" s="1048"/>
      <c r="C40" s="1048"/>
      <c r="D40" s="1048"/>
      <c r="E40" s="1049"/>
    </row>
    <row r="41" spans="1:5" s="462" customFormat="1" ht="15.75">
      <c r="A41" s="1050">
        <v>9111</v>
      </c>
      <c r="B41" s="1050" t="s">
        <v>558</v>
      </c>
      <c r="C41" s="1050"/>
      <c r="D41" s="1050"/>
      <c r="E41" s="1015">
        <v>500</v>
      </c>
    </row>
    <row r="42" spans="1:5" s="462" customFormat="1" ht="15.75">
      <c r="A42" s="1050"/>
      <c r="B42" s="1050"/>
      <c r="C42" s="1050"/>
      <c r="D42" s="1050"/>
      <c r="E42" s="1015"/>
    </row>
    <row r="43" spans="1:5" s="462" customFormat="1" ht="15.75">
      <c r="A43" s="1050" t="s">
        <v>559</v>
      </c>
      <c r="B43" s="1050"/>
      <c r="C43" s="1050"/>
      <c r="D43" s="1050"/>
      <c r="E43" s="1015">
        <f>E41</f>
        <v>500</v>
      </c>
    </row>
    <row r="44" spans="1:5" s="462" customFormat="1" ht="15.75">
      <c r="A44" s="1050"/>
      <c r="B44" s="1050"/>
      <c r="C44" s="1050"/>
      <c r="D44" s="1050"/>
      <c r="E44" s="1015"/>
    </row>
    <row r="45" spans="1:8" s="57" customFormat="1" ht="15">
      <c r="A45" s="1266" t="s">
        <v>974</v>
      </c>
      <c r="B45" s="1266"/>
      <c r="C45" s="1266"/>
      <c r="D45" s="1266"/>
      <c r="E45" s="1266"/>
      <c r="F45" s="72"/>
      <c r="G45" s="72"/>
      <c r="H45" s="72"/>
    </row>
    <row r="46" spans="1:8" s="57" customFormat="1" ht="15">
      <c r="A46" s="73"/>
      <c r="B46" s="73"/>
      <c r="C46" s="34"/>
      <c r="D46" s="34"/>
      <c r="E46" s="34"/>
      <c r="F46" s="34"/>
      <c r="G46" s="34"/>
      <c r="H46" s="34"/>
    </row>
    <row r="47" s="57" customFormat="1" ht="12.75"/>
    <row r="48" s="57" customFormat="1" ht="13.5" thickBot="1"/>
    <row r="49" spans="1:8" s="57" customFormat="1" ht="15.75" thickBot="1">
      <c r="A49" s="1258" t="s">
        <v>975</v>
      </c>
      <c r="B49" s="1259"/>
      <c r="C49" s="1259"/>
      <c r="D49" s="1259"/>
      <c r="E49" s="1260"/>
      <c r="F49" s="72"/>
      <c r="G49" s="72"/>
      <c r="H49" s="72"/>
    </row>
    <row r="50" s="57" customFormat="1" ht="12.75"/>
    <row r="51" s="57" customFormat="1" ht="12.75"/>
  </sheetData>
  <sheetProtection/>
  <mergeCells count="12">
    <mergeCell ref="A38:D38"/>
    <mergeCell ref="A45:E45"/>
    <mergeCell ref="A4:E4"/>
    <mergeCell ref="A5:E5"/>
    <mergeCell ref="A6:E6"/>
    <mergeCell ref="A7:E7"/>
    <mergeCell ref="A49:E49"/>
    <mergeCell ref="A26:D26"/>
    <mergeCell ref="A29:E29"/>
    <mergeCell ref="A39:D39"/>
    <mergeCell ref="A31:D31"/>
    <mergeCell ref="A33:E33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O22"/>
  <sheetViews>
    <sheetView view="pageBreakPreview" zoomScaleNormal="90" zoomScaleSheetLayoutView="100" zoomScalePageLayoutView="0" workbookViewId="0" topLeftCell="C1">
      <selection activeCell="N22" sqref="N22:O22"/>
    </sheetView>
  </sheetViews>
  <sheetFormatPr defaultColWidth="9.140625" defaultRowHeight="12.75"/>
  <cols>
    <col min="1" max="1" width="27.140625" style="156" customWidth="1"/>
    <col min="2" max="2" width="18.140625" style="157" customWidth="1"/>
    <col min="3" max="3" width="14.00390625" style="157" customWidth="1"/>
    <col min="4" max="4" width="12.57421875" style="157" customWidth="1"/>
    <col min="5" max="5" width="12.00390625" style="157" customWidth="1"/>
    <col min="6" max="6" width="13.8515625" style="157" customWidth="1"/>
    <col min="7" max="7" width="15.140625" style="157" customWidth="1"/>
    <col min="8" max="8" width="15.28125" style="157" customWidth="1"/>
    <col min="9" max="10" width="14.421875" style="157" customWidth="1"/>
    <col min="11" max="11" width="11.57421875" style="157" customWidth="1"/>
    <col min="12" max="12" width="10.421875" style="157" customWidth="1"/>
    <col min="13" max="13" width="9.57421875" style="157" customWidth="1"/>
    <col min="14" max="14" width="12.140625" style="157" customWidth="1"/>
    <col min="15" max="15" width="10.28125" style="157" customWidth="1"/>
    <col min="16" max="16384" width="9.140625" style="157" customWidth="1"/>
  </cols>
  <sheetData>
    <row r="1" spans="14:15" ht="12.75">
      <c r="N1" s="1155" t="s">
        <v>546</v>
      </c>
      <c r="O1" s="1155"/>
    </row>
    <row r="2" spans="1:14" ht="12.75">
      <c r="A2" s="1156" t="s">
        <v>884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</row>
    <row r="3" spans="1:14" ht="39" customHeight="1">
      <c r="A3" s="1157" t="s">
        <v>1152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</row>
    <row r="4" spans="8:15" ht="12.75">
      <c r="H4" s="1136"/>
      <c r="I4" s="1136"/>
      <c r="J4" s="1136"/>
      <c r="L4" s="1158" t="s">
        <v>161</v>
      </c>
      <c r="M4" s="1158"/>
      <c r="N4" s="1158"/>
      <c r="O4" s="1158"/>
    </row>
    <row r="5" spans="1:15" ht="12.75">
      <c r="A5" s="1159" t="s">
        <v>1032</v>
      </c>
      <c r="B5" s="1137" t="s">
        <v>145</v>
      </c>
      <c r="C5" s="1138"/>
      <c r="D5" s="1141" t="s">
        <v>1124</v>
      </c>
      <c r="E5" s="1142"/>
      <c r="F5" s="1141" t="s">
        <v>538</v>
      </c>
      <c r="G5" s="1142"/>
      <c r="H5" s="1145" t="s">
        <v>539</v>
      </c>
      <c r="I5" s="1146"/>
      <c r="J5" s="1147"/>
      <c r="K5" s="309"/>
      <c r="L5" s="1141" t="s">
        <v>1113</v>
      </c>
      <c r="M5" s="1142"/>
      <c r="N5" s="1141" t="s">
        <v>1036</v>
      </c>
      <c r="O5" s="1142"/>
    </row>
    <row r="6" spans="1:15" ht="39" customHeight="1">
      <c r="A6" s="1160"/>
      <c r="B6" s="1139"/>
      <c r="C6" s="1140"/>
      <c r="D6" s="1143"/>
      <c r="E6" s="1144"/>
      <c r="F6" s="1143"/>
      <c r="G6" s="1144"/>
      <c r="H6" s="1135" t="s">
        <v>541</v>
      </c>
      <c r="I6" s="1135"/>
      <c r="J6" s="1135" t="s">
        <v>1125</v>
      </c>
      <c r="K6" s="1135"/>
      <c r="L6" s="1143"/>
      <c r="M6" s="1144"/>
      <c r="N6" s="1143"/>
      <c r="O6" s="1144"/>
    </row>
    <row r="7" spans="1:15" ht="12.75">
      <c r="A7" s="1161"/>
      <c r="B7" s="755" t="s">
        <v>1023</v>
      </c>
      <c r="C7" s="755" t="s">
        <v>1114</v>
      </c>
      <c r="D7" s="755" t="s">
        <v>1023</v>
      </c>
      <c r="E7" s="755" t="s">
        <v>1114</v>
      </c>
      <c r="F7" s="755" t="s">
        <v>1023</v>
      </c>
      <c r="G7" s="755" t="s">
        <v>1114</v>
      </c>
      <c r="H7" s="755" t="s">
        <v>1023</v>
      </c>
      <c r="I7" s="755" t="s">
        <v>1114</v>
      </c>
      <c r="J7" s="755" t="s">
        <v>1023</v>
      </c>
      <c r="K7" s="755" t="s">
        <v>1114</v>
      </c>
      <c r="L7" s="755" t="s">
        <v>1023</v>
      </c>
      <c r="M7" s="755" t="s">
        <v>1114</v>
      </c>
      <c r="N7" s="755" t="s">
        <v>1023</v>
      </c>
      <c r="O7" s="755" t="s">
        <v>1114</v>
      </c>
    </row>
    <row r="8" spans="1:15" ht="12.75">
      <c r="A8" s="1149" t="s">
        <v>1126</v>
      </c>
      <c r="B8" s="1150"/>
      <c r="C8" s="1150"/>
      <c r="D8" s="1150"/>
      <c r="E8" s="1150"/>
      <c r="F8" s="1150"/>
      <c r="G8" s="1150"/>
      <c r="H8" s="1150"/>
      <c r="I8" s="1150"/>
      <c r="J8" s="1150"/>
      <c r="K8" s="1150"/>
      <c r="L8" s="1150"/>
      <c r="M8" s="1150"/>
      <c r="N8" s="1150"/>
      <c r="O8" s="1151"/>
    </row>
    <row r="9" spans="1:15" ht="6.75" customHeight="1">
      <c r="A9" s="1152"/>
      <c r="B9" s="1153"/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4"/>
    </row>
    <row r="10" spans="1:15" ht="15.75" customHeight="1">
      <c r="A10" s="159" t="s">
        <v>669</v>
      </c>
      <c r="B10" s="160">
        <v>3246</v>
      </c>
      <c r="C10" s="160">
        <v>3246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>
        <f aca="true" t="shared" si="0" ref="N10:O12">+B10+D10+F10+H10+J10+L10</f>
        <v>3246</v>
      </c>
      <c r="O10" s="160">
        <f t="shared" si="0"/>
        <v>3246</v>
      </c>
    </row>
    <row r="11" spans="1:15" s="158" customFormat="1" ht="12.75">
      <c r="A11" s="159" t="s">
        <v>1127</v>
      </c>
      <c r="B11" s="162">
        <f>SUM(B12:B14)</f>
        <v>1100</v>
      </c>
      <c r="C11" s="162">
        <f>SUM(C12:C14)</f>
        <v>1100</v>
      </c>
      <c r="D11" s="162">
        <f aca="true" t="shared" si="1" ref="D11:L11">SUM(D12:D14)</f>
        <v>0</v>
      </c>
      <c r="E11" s="162">
        <f t="shared" si="1"/>
        <v>0</v>
      </c>
      <c r="F11" s="162">
        <f t="shared" si="1"/>
        <v>0</v>
      </c>
      <c r="G11" s="162">
        <f t="shared" si="1"/>
        <v>0</v>
      </c>
      <c r="H11" s="162">
        <f t="shared" si="1"/>
        <v>13147</v>
      </c>
      <c r="I11" s="162">
        <f t="shared" si="1"/>
        <v>13147</v>
      </c>
      <c r="J11" s="162">
        <f t="shared" si="1"/>
        <v>0</v>
      </c>
      <c r="K11" s="162">
        <f t="shared" si="1"/>
        <v>0</v>
      </c>
      <c r="L11" s="162">
        <f t="shared" si="1"/>
        <v>0</v>
      </c>
      <c r="M11" s="162">
        <f>M12+M14</f>
        <v>0</v>
      </c>
      <c r="N11" s="160">
        <f t="shared" si="0"/>
        <v>14247</v>
      </c>
      <c r="O11" s="160">
        <f t="shared" si="0"/>
        <v>14247</v>
      </c>
    </row>
    <row r="12" spans="1:15" ht="12.75">
      <c r="A12" s="163" t="s">
        <v>1128</v>
      </c>
      <c r="B12" s="164">
        <f>1000</f>
        <v>1000</v>
      </c>
      <c r="C12" s="164">
        <f>1000</f>
        <v>1000</v>
      </c>
      <c r="D12" s="164"/>
      <c r="E12" s="164"/>
      <c r="F12" s="164"/>
      <c r="G12" s="164"/>
      <c r="H12" s="705">
        <f>1084+1908+7455</f>
        <v>10447</v>
      </c>
      <c r="I12" s="705">
        <f>1084+1908+7455</f>
        <v>10447</v>
      </c>
      <c r="J12" s="164"/>
      <c r="K12" s="164"/>
      <c r="L12" s="164"/>
      <c r="M12" s="164"/>
      <c r="N12" s="160">
        <f t="shared" si="0"/>
        <v>11447</v>
      </c>
      <c r="O12" s="160">
        <f t="shared" si="0"/>
        <v>11447</v>
      </c>
    </row>
    <row r="13" spans="1:15" ht="12.75">
      <c r="A13" s="163" t="s">
        <v>471</v>
      </c>
      <c r="B13" s="164"/>
      <c r="C13" s="164"/>
      <c r="D13" s="164"/>
      <c r="E13" s="164"/>
      <c r="F13" s="164"/>
      <c r="G13" s="164"/>
      <c r="H13" s="705">
        <v>2700</v>
      </c>
      <c r="I13" s="705">
        <v>2700</v>
      </c>
      <c r="J13" s="164"/>
      <c r="K13" s="164"/>
      <c r="L13" s="164"/>
      <c r="M13" s="164"/>
      <c r="N13" s="160">
        <f aca="true" t="shared" si="2" ref="N13:O18">+B13+D13+F13+H13+J13+L13</f>
        <v>2700</v>
      </c>
      <c r="O13" s="160">
        <f t="shared" si="2"/>
        <v>2700</v>
      </c>
    </row>
    <row r="14" spans="1:15" ht="12.75">
      <c r="A14" s="163" t="s">
        <v>1129</v>
      </c>
      <c r="B14" s="164">
        <v>100</v>
      </c>
      <c r="C14" s="164">
        <v>100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0">
        <f t="shared" si="2"/>
        <v>100</v>
      </c>
      <c r="O14" s="160">
        <f t="shared" si="2"/>
        <v>100</v>
      </c>
    </row>
    <row r="15" spans="1:15" s="158" customFormat="1" ht="12.75">
      <c r="A15" s="159" t="s">
        <v>1118</v>
      </c>
      <c r="B15" s="162">
        <f>B16+B17</f>
        <v>27434</v>
      </c>
      <c r="C15" s="162">
        <f>C16+C17</f>
        <v>27434</v>
      </c>
      <c r="D15" s="162">
        <f aca="true" t="shared" si="3" ref="D15:O15">D16+D17</f>
        <v>0</v>
      </c>
      <c r="E15" s="162">
        <f t="shared" si="3"/>
        <v>0</v>
      </c>
      <c r="F15" s="162">
        <f t="shared" si="3"/>
        <v>0</v>
      </c>
      <c r="G15" s="162">
        <f t="shared" si="3"/>
        <v>0</v>
      </c>
      <c r="H15" s="162">
        <f t="shared" si="3"/>
        <v>0</v>
      </c>
      <c r="I15" s="162">
        <f t="shared" si="3"/>
        <v>0</v>
      </c>
      <c r="J15" s="162">
        <f t="shared" si="3"/>
        <v>0</v>
      </c>
      <c r="K15" s="162">
        <f t="shared" si="3"/>
        <v>0</v>
      </c>
      <c r="L15" s="162">
        <f t="shared" si="3"/>
        <v>0</v>
      </c>
      <c r="M15" s="162">
        <f t="shared" si="3"/>
        <v>0</v>
      </c>
      <c r="N15" s="162">
        <f t="shared" si="3"/>
        <v>27434</v>
      </c>
      <c r="O15" s="162">
        <f t="shared" si="3"/>
        <v>27434</v>
      </c>
    </row>
    <row r="16" spans="1:15" ht="12.75">
      <c r="A16" s="163" t="s">
        <v>1130</v>
      </c>
      <c r="B16" s="164">
        <v>1049</v>
      </c>
      <c r="C16" s="164">
        <v>1049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0">
        <f t="shared" si="2"/>
        <v>1049</v>
      </c>
      <c r="O16" s="160">
        <f t="shared" si="2"/>
        <v>1049</v>
      </c>
    </row>
    <row r="17" spans="1:15" ht="12.75">
      <c r="A17" s="163" t="s">
        <v>1131</v>
      </c>
      <c r="B17" s="164">
        <v>26385</v>
      </c>
      <c r="C17" s="164">
        <v>26385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0">
        <f t="shared" si="2"/>
        <v>26385</v>
      </c>
      <c r="O17" s="160">
        <f t="shared" si="2"/>
        <v>26385</v>
      </c>
    </row>
    <row r="18" spans="1:15" ht="24">
      <c r="A18" s="165" t="s">
        <v>1132</v>
      </c>
      <c r="B18" s="162">
        <f aca="true" t="shared" si="4" ref="B18:M18">B10+B11+B15</f>
        <v>31780</v>
      </c>
      <c r="C18" s="162">
        <f t="shared" si="4"/>
        <v>31780</v>
      </c>
      <c r="D18" s="162">
        <f t="shared" si="4"/>
        <v>0</v>
      </c>
      <c r="E18" s="162">
        <f t="shared" si="4"/>
        <v>0</v>
      </c>
      <c r="F18" s="162">
        <f t="shared" si="4"/>
        <v>0</v>
      </c>
      <c r="G18" s="162">
        <f t="shared" si="4"/>
        <v>0</v>
      </c>
      <c r="H18" s="162">
        <f t="shared" si="4"/>
        <v>13147</v>
      </c>
      <c r="I18" s="162">
        <f t="shared" si="4"/>
        <v>13147</v>
      </c>
      <c r="J18" s="162">
        <f t="shared" si="4"/>
        <v>0</v>
      </c>
      <c r="K18" s="162">
        <f t="shared" si="4"/>
        <v>0</v>
      </c>
      <c r="L18" s="162">
        <f t="shared" si="4"/>
        <v>0</v>
      </c>
      <c r="M18" s="162">
        <f t="shared" si="4"/>
        <v>0</v>
      </c>
      <c r="N18" s="160">
        <f t="shared" si="2"/>
        <v>44927</v>
      </c>
      <c r="O18" s="160">
        <f t="shared" si="2"/>
        <v>44927</v>
      </c>
    </row>
    <row r="19" spans="1:15" ht="17.25" customHeight="1">
      <c r="A19" s="1148"/>
      <c r="B19" s="1148"/>
      <c r="C19" s="1148"/>
      <c r="D19" s="1148"/>
      <c r="E19" s="1148"/>
      <c r="F19" s="1148"/>
      <c r="G19" s="1148"/>
      <c r="H19" s="1148"/>
      <c r="I19" s="1148"/>
      <c r="J19" s="1148"/>
      <c r="K19" s="1148"/>
      <c r="L19" s="1148"/>
      <c r="M19" s="1148"/>
      <c r="N19" s="1148"/>
      <c r="O19" s="1148"/>
    </row>
    <row r="20" spans="1:15" ht="25.5">
      <c r="A20" s="880" t="s">
        <v>1153</v>
      </c>
      <c r="B20" s="161">
        <f>1am!B12</f>
        <v>650</v>
      </c>
      <c r="C20" s="161">
        <f>1am!C12</f>
        <v>650</v>
      </c>
      <c r="D20" s="161">
        <f>1am!D12</f>
        <v>0</v>
      </c>
      <c r="E20" s="161">
        <f>1am!E12</f>
        <v>0</v>
      </c>
      <c r="F20" s="161">
        <f>1am!F12</f>
        <v>0</v>
      </c>
      <c r="G20" s="161">
        <f>1am!G12</f>
        <v>0</v>
      </c>
      <c r="H20" s="161">
        <f>1am!H12</f>
        <v>46670</v>
      </c>
      <c r="I20" s="161">
        <f>1am!I12</f>
        <v>46670</v>
      </c>
      <c r="J20" s="161">
        <f>1am!J12</f>
        <v>0</v>
      </c>
      <c r="K20" s="161">
        <f>1am!K12</f>
        <v>0</v>
      </c>
      <c r="L20" s="161">
        <f>1am!L12</f>
        <v>0</v>
      </c>
      <c r="M20" s="161">
        <f>1am!M12</f>
        <v>0</v>
      </c>
      <c r="N20" s="161">
        <f>1am!N12</f>
        <v>47320</v>
      </c>
      <c r="O20" s="161">
        <f>1am!O12</f>
        <v>47320</v>
      </c>
    </row>
    <row r="21" spans="1:15" ht="27" customHeight="1">
      <c r="A21" s="880" t="s">
        <v>402</v>
      </c>
      <c r="B21" s="309">
        <f>1am!B43</f>
        <v>46971</v>
      </c>
      <c r="C21" s="309">
        <f>1am!C43</f>
        <v>52457</v>
      </c>
      <c r="D21" s="309">
        <f>1am!D43</f>
        <v>124600</v>
      </c>
      <c r="E21" s="309">
        <f>1am!E43</f>
        <v>124600</v>
      </c>
      <c r="F21" s="309">
        <f>1am!F43</f>
        <v>651100.493564</v>
      </c>
      <c r="G21" s="309">
        <f>1am!G43</f>
        <v>655488.493564</v>
      </c>
      <c r="H21" s="309">
        <f>1am!H43</f>
        <v>172782</v>
      </c>
      <c r="I21" s="309">
        <f>1am!I43</f>
        <v>172782</v>
      </c>
      <c r="J21" s="309">
        <f>1am!J43</f>
        <v>1989</v>
      </c>
      <c r="K21" s="309">
        <f>1am!K43</f>
        <v>1989</v>
      </c>
      <c r="L21" s="309">
        <f>1am!L43</f>
        <v>0</v>
      </c>
      <c r="M21" s="309">
        <f>1am!M43</f>
        <v>0</v>
      </c>
      <c r="N21" s="309">
        <f>1am!N43</f>
        <v>997442.493564</v>
      </c>
      <c r="O21" s="309">
        <f>1am!O43</f>
        <v>1007316.493564</v>
      </c>
    </row>
    <row r="22" spans="1:15" ht="13.5">
      <c r="A22" s="166" t="s">
        <v>1133</v>
      </c>
      <c r="B22" s="167">
        <f>+B20+B18+B21</f>
        <v>79401</v>
      </c>
      <c r="C22" s="167">
        <f aca="true" t="shared" si="5" ref="C22:O22">+C20+C18+C21</f>
        <v>84887</v>
      </c>
      <c r="D22" s="167">
        <f t="shared" si="5"/>
        <v>124600</v>
      </c>
      <c r="E22" s="167">
        <f t="shared" si="5"/>
        <v>124600</v>
      </c>
      <c r="F22" s="167">
        <f t="shared" si="5"/>
        <v>651100.493564</v>
      </c>
      <c r="G22" s="167">
        <f t="shared" si="5"/>
        <v>655488.493564</v>
      </c>
      <c r="H22" s="167">
        <f t="shared" si="5"/>
        <v>232599</v>
      </c>
      <c r="I22" s="167">
        <f t="shared" si="5"/>
        <v>232599</v>
      </c>
      <c r="J22" s="167">
        <f t="shared" si="5"/>
        <v>1989</v>
      </c>
      <c r="K22" s="167">
        <f t="shared" si="5"/>
        <v>1989</v>
      </c>
      <c r="L22" s="167">
        <f t="shared" si="5"/>
        <v>0</v>
      </c>
      <c r="M22" s="167">
        <f t="shared" si="5"/>
        <v>0</v>
      </c>
      <c r="N22" s="167">
        <f t="shared" si="5"/>
        <v>1089689.493564</v>
      </c>
      <c r="O22" s="167">
        <f t="shared" si="5"/>
        <v>1099563.493564</v>
      </c>
    </row>
  </sheetData>
  <sheetProtection/>
  <mergeCells count="16">
    <mergeCell ref="A19:O19"/>
    <mergeCell ref="A8:O9"/>
    <mergeCell ref="N1:O1"/>
    <mergeCell ref="A2:N2"/>
    <mergeCell ref="A3:N3"/>
    <mergeCell ref="L4:O4"/>
    <mergeCell ref="N5:O6"/>
    <mergeCell ref="A5:A7"/>
    <mergeCell ref="L5:M6"/>
    <mergeCell ref="J6:K6"/>
    <mergeCell ref="H6:I6"/>
    <mergeCell ref="H4:J4"/>
    <mergeCell ref="B5:C6"/>
    <mergeCell ref="D5:E6"/>
    <mergeCell ref="F5:G6"/>
    <mergeCell ref="H5:J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F34"/>
  <sheetViews>
    <sheetView view="pageBreakPreview" zoomScaleSheetLayoutView="100" zoomScalePageLayoutView="0" workbookViewId="0" topLeftCell="A13">
      <selection activeCell="E31" sqref="E31"/>
    </sheetView>
  </sheetViews>
  <sheetFormatPr defaultColWidth="9.140625" defaultRowHeight="12.75"/>
  <cols>
    <col min="1" max="1" width="14.00390625" style="0" customWidth="1"/>
    <col min="2" max="2" width="51.57421875" style="0" customWidth="1"/>
    <col min="3" max="3" width="10.7109375" style="0" customWidth="1"/>
    <col min="4" max="4" width="4.00390625" style="0" customWidth="1"/>
    <col min="5" max="5" width="10.57421875" style="358" customWidth="1"/>
  </cols>
  <sheetData>
    <row r="1" spans="1:5" ht="18">
      <c r="A1" s="1267" t="s">
        <v>137</v>
      </c>
      <c r="B1" s="1267"/>
      <c r="C1" s="1267"/>
      <c r="D1" s="1267"/>
      <c r="E1" s="1267"/>
    </row>
    <row r="2" spans="1:5" ht="18" customHeight="1">
      <c r="A2" s="1203" t="s">
        <v>1211</v>
      </c>
      <c r="B2" s="1203"/>
      <c r="C2" s="1203"/>
      <c r="D2" s="1203"/>
      <c r="E2" s="1203"/>
    </row>
    <row r="4" spans="1:5" ht="15">
      <c r="A4" s="1257" t="s">
        <v>163</v>
      </c>
      <c r="B4" s="1257"/>
      <c r="C4" s="1257"/>
      <c r="D4" s="1257"/>
      <c r="E4" s="1257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1129" t="s">
        <v>27</v>
      </c>
      <c r="B6" s="1129"/>
      <c r="C6" s="1129"/>
      <c r="D6" s="1129"/>
      <c r="E6" s="1129"/>
    </row>
    <row r="7" spans="1:5" ht="15">
      <c r="A7" s="97"/>
      <c r="B7" s="91"/>
      <c r="C7" s="98"/>
      <c r="D7" s="98"/>
      <c r="E7" s="98" t="s">
        <v>29</v>
      </c>
    </row>
    <row r="8" spans="1:5" ht="15">
      <c r="A8" s="97"/>
      <c r="B8" s="91"/>
      <c r="C8" s="98"/>
      <c r="D8" s="98"/>
      <c r="E8" s="98"/>
    </row>
    <row r="9" spans="1:5" ht="12.75">
      <c r="A9" s="14" t="s">
        <v>1497</v>
      </c>
      <c r="B9" s="14" t="s">
        <v>1037</v>
      </c>
      <c r="C9" s="15"/>
      <c r="D9" s="15"/>
      <c r="E9" s="15"/>
    </row>
    <row r="10" spans="1:5" ht="12.75">
      <c r="A10" s="467">
        <v>511111</v>
      </c>
      <c r="B10" s="14" t="s">
        <v>30</v>
      </c>
      <c r="C10" s="15">
        <f>Bérek2013!Q2+Bérek2013!Q3+Bérek2013!Q4</f>
        <v>4994400</v>
      </c>
      <c r="D10" s="15"/>
      <c r="E10" s="15">
        <f>+ROUND(C10,-3)/1000</f>
        <v>4994</v>
      </c>
    </row>
    <row r="11" spans="1:5" ht="12.75">
      <c r="A11" s="467">
        <v>511121</v>
      </c>
      <c r="B11" s="331" t="s">
        <v>31</v>
      </c>
      <c r="C11" s="15">
        <f>Bérek2013!R2+Bérek2013!R3+Bérek2013!R4</f>
        <v>241200</v>
      </c>
      <c r="D11" s="15"/>
      <c r="E11" s="15">
        <f>+ROUND(C11,-3)/1000</f>
        <v>241</v>
      </c>
    </row>
    <row r="12" spans="1:5" ht="12.75">
      <c r="A12" s="331">
        <v>511131</v>
      </c>
      <c r="B12" s="331" t="s">
        <v>33</v>
      </c>
      <c r="C12" s="639">
        <f>Bérek2013!S2+Bérek2013!S3+Bérek2013!S4</f>
        <v>0</v>
      </c>
      <c r="D12" s="15"/>
      <c r="E12" s="15">
        <f>+ROUND(C12,-3)/1000</f>
        <v>0</v>
      </c>
    </row>
    <row r="13" spans="1:5" ht="12.75">
      <c r="A13" s="546">
        <v>511</v>
      </c>
      <c r="B13" s="501" t="s">
        <v>1500</v>
      </c>
      <c r="C13" s="451">
        <f>SUM(C10:C12)</f>
        <v>5235600</v>
      </c>
      <c r="D13" s="451"/>
      <c r="E13" s="35">
        <f>E10+E11+E12</f>
        <v>5235</v>
      </c>
    </row>
    <row r="14" spans="1:5" ht="12.75">
      <c r="A14" s="467">
        <v>512191</v>
      </c>
      <c r="B14" s="497" t="s">
        <v>1210</v>
      </c>
      <c r="C14" s="465"/>
      <c r="D14" s="465"/>
      <c r="E14" s="467">
        <f>ROUND(C14,-3)/1000</f>
        <v>0</v>
      </c>
    </row>
    <row r="15" spans="1:6" ht="12.75">
      <c r="A15" s="546">
        <v>512</v>
      </c>
      <c r="B15" s="606" t="s">
        <v>93</v>
      </c>
      <c r="C15" s="451"/>
      <c r="D15" s="451"/>
      <c r="E15" s="451">
        <f>+E14</f>
        <v>0</v>
      </c>
      <c r="F15" s="21"/>
    </row>
    <row r="16" spans="1:6" ht="12.75">
      <c r="A16" s="467">
        <v>513121</v>
      </c>
      <c r="B16" s="14" t="s">
        <v>1206</v>
      </c>
      <c r="C16" s="15"/>
      <c r="D16" s="15"/>
      <c r="E16" s="15">
        <f>ROUND(C16,-3)/1000</f>
        <v>0</v>
      </c>
      <c r="F16" s="21"/>
    </row>
    <row r="17" spans="1:6" ht="12.75">
      <c r="A17" s="467">
        <v>513131</v>
      </c>
      <c r="B17" s="14" t="s">
        <v>35</v>
      </c>
      <c r="C17" s="15"/>
      <c r="D17" s="15"/>
      <c r="E17" s="18"/>
      <c r="F17" s="21"/>
    </row>
    <row r="18" spans="1:5" ht="12.75">
      <c r="A18" s="546">
        <v>513</v>
      </c>
      <c r="B18" s="501" t="s">
        <v>1481</v>
      </c>
      <c r="C18" s="451"/>
      <c r="D18" s="451"/>
      <c r="E18" s="451">
        <f>+E16+E17</f>
        <v>0</v>
      </c>
    </row>
    <row r="19" spans="1:5" ht="12.75">
      <c r="A19" s="467">
        <v>514141</v>
      </c>
      <c r="B19" s="14" t="s">
        <v>40</v>
      </c>
      <c r="C19" s="15">
        <f>Bérek2013!Z2+Bérek2013!Z3+Bérek2013!Z4</f>
        <v>450000</v>
      </c>
      <c r="D19" s="15"/>
      <c r="E19" s="15">
        <f>ROUND(C19,-3)/1000</f>
        <v>450</v>
      </c>
    </row>
    <row r="20" spans="1:5" ht="12.75">
      <c r="A20" s="467">
        <v>514191</v>
      </c>
      <c r="B20" s="14" t="s">
        <v>785</v>
      </c>
      <c r="C20" s="15"/>
      <c r="D20" s="15"/>
      <c r="E20" s="15">
        <v>0</v>
      </c>
    </row>
    <row r="21" spans="1:5" ht="13.5" thickBot="1">
      <c r="A21" s="546">
        <v>514</v>
      </c>
      <c r="B21" s="547" t="s">
        <v>1482</v>
      </c>
      <c r="C21" s="451"/>
      <c r="D21" s="451"/>
      <c r="E21" s="451">
        <f>SUM(E19:E20)</f>
        <v>450</v>
      </c>
    </row>
    <row r="22" spans="1:5" ht="16.5" thickBot="1">
      <c r="A22" s="1261" t="s">
        <v>1503</v>
      </c>
      <c r="B22" s="1262"/>
      <c r="C22" s="1262"/>
      <c r="D22" s="520"/>
      <c r="E22" s="449">
        <f>+E13+E15+E18+E21</f>
        <v>5685</v>
      </c>
    </row>
    <row r="23" spans="1:5" s="23" customFormat="1" ht="15.75">
      <c r="A23" s="78"/>
      <c r="B23" s="78"/>
      <c r="C23" s="78"/>
      <c r="D23" s="78"/>
      <c r="E23" s="364"/>
    </row>
    <row r="24" spans="1:5" ht="15">
      <c r="A24" s="1269" t="s">
        <v>1504</v>
      </c>
      <c r="B24" s="1270"/>
      <c r="C24" s="1270"/>
      <c r="D24" s="1270"/>
      <c r="E24" s="1270"/>
    </row>
    <row r="25" spans="1:5" ht="13.5" thickBot="1">
      <c r="A25" s="455">
        <v>53112</v>
      </c>
      <c r="B25" s="455" t="s">
        <v>1212</v>
      </c>
      <c r="C25" s="468"/>
      <c r="D25" s="468"/>
      <c r="E25" s="456">
        <f>(E13+E15+E18)*0.27</f>
        <v>1413.45</v>
      </c>
    </row>
    <row r="26" spans="1:5" ht="16.5" thickBot="1">
      <c r="A26" s="1261" t="s">
        <v>992</v>
      </c>
      <c r="B26" s="1262"/>
      <c r="C26" s="1262"/>
      <c r="D26" s="520"/>
      <c r="E26" s="449">
        <f>+E25</f>
        <v>1413.45</v>
      </c>
    </row>
    <row r="27" spans="1:5" s="23" customFormat="1" ht="15.75">
      <c r="A27" s="78"/>
      <c r="B27" s="78"/>
      <c r="C27" s="78"/>
      <c r="D27" s="78"/>
      <c r="E27" s="364"/>
    </row>
    <row r="28" spans="1:5" ht="12.75">
      <c r="A28" s="1129" t="s">
        <v>1506</v>
      </c>
      <c r="B28" s="1129"/>
      <c r="C28" s="1129"/>
      <c r="D28" s="1129"/>
      <c r="E28" s="1129"/>
    </row>
    <row r="29" spans="1:5" ht="12.75">
      <c r="A29" s="12">
        <v>56211</v>
      </c>
      <c r="B29" s="12" t="s">
        <v>1006</v>
      </c>
      <c r="C29" s="12"/>
      <c r="D29" s="12"/>
      <c r="E29" s="469">
        <v>0</v>
      </c>
    </row>
    <row r="30" spans="1:5" ht="12.75">
      <c r="A30" s="12">
        <v>57211</v>
      </c>
      <c r="B30" s="12" t="s">
        <v>1213</v>
      </c>
      <c r="C30" s="15"/>
      <c r="D30" s="15"/>
      <c r="E30" s="469">
        <f>+E19*0.357</f>
        <v>160.65</v>
      </c>
    </row>
    <row r="31" spans="1:5" ht="13.5" thickBot="1">
      <c r="A31" s="455">
        <v>57213</v>
      </c>
      <c r="B31" s="455" t="s">
        <v>798</v>
      </c>
      <c r="C31" s="456"/>
      <c r="D31" s="456"/>
      <c r="E31" s="470">
        <f>'rehabilitációs hj '!E18</f>
        <v>145</v>
      </c>
    </row>
    <row r="32" spans="1:5" ht="16.5" thickBot="1">
      <c r="A32" s="1261" t="s">
        <v>162</v>
      </c>
      <c r="B32" s="1262"/>
      <c r="C32" s="1262"/>
      <c r="D32" s="520"/>
      <c r="E32" s="471">
        <f>SUM(E29:E31)</f>
        <v>305.65</v>
      </c>
    </row>
    <row r="33" spans="1:5" ht="15.75">
      <c r="A33" s="78"/>
      <c r="B33" s="78"/>
      <c r="C33" s="78"/>
      <c r="D33" s="78"/>
      <c r="E33" s="365"/>
    </row>
    <row r="34" spans="1:5" ht="15.75">
      <c r="A34" s="1268" t="s">
        <v>972</v>
      </c>
      <c r="B34" s="1268"/>
      <c r="C34" s="1268"/>
      <c r="D34" s="308"/>
      <c r="E34" s="357">
        <f>+E32+E26+E22</f>
        <v>7404.1</v>
      </c>
    </row>
  </sheetData>
  <sheetProtection/>
  <mergeCells count="11">
    <mergeCell ref="A32:C32"/>
    <mergeCell ref="A6:E6"/>
    <mergeCell ref="A1:E1"/>
    <mergeCell ref="A2:E2"/>
    <mergeCell ref="A4:E4"/>
    <mergeCell ref="A5:E5"/>
    <mergeCell ref="A34:C34"/>
    <mergeCell ref="A28:E28"/>
    <mergeCell ref="A22:C22"/>
    <mergeCell ref="A24:E24"/>
    <mergeCell ref="A26:C2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M439"/>
  <sheetViews>
    <sheetView view="pageBreakPreview" zoomScaleNormal="85" zoomScaleSheetLayoutView="100" zoomScalePageLayoutView="0" workbookViewId="0" topLeftCell="A36">
      <selection activeCell="B1" sqref="A1:E43"/>
    </sheetView>
  </sheetViews>
  <sheetFormatPr defaultColWidth="9.140625" defaultRowHeight="12.75"/>
  <cols>
    <col min="1" max="1" width="13.57421875" style="0" bestFit="1" customWidth="1"/>
    <col min="2" max="2" width="50.8515625" style="0" customWidth="1"/>
    <col min="3" max="4" width="13.57421875" style="0" bestFit="1" customWidth="1"/>
    <col min="5" max="5" width="14.00390625" style="0" bestFit="1" customWidth="1"/>
    <col min="6" max="6" width="13.57421875" style="0" bestFit="1" customWidth="1"/>
    <col min="7" max="7" width="10.421875" style="0" bestFit="1" customWidth="1"/>
  </cols>
  <sheetData>
    <row r="1" ht="18">
      <c r="B1" s="94" t="s">
        <v>174</v>
      </c>
    </row>
    <row r="2" ht="18">
      <c r="B2" s="350" t="s">
        <v>377</v>
      </c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1129" t="s">
        <v>27</v>
      </c>
      <c r="B6" s="1129"/>
      <c r="C6" s="1129"/>
      <c r="D6" s="1129"/>
      <c r="E6" s="1129"/>
    </row>
    <row r="7" spans="1:7" s="10" customFormat="1" ht="12.75">
      <c r="A7" s="64"/>
      <c r="B7" s="344" t="s">
        <v>1471</v>
      </c>
      <c r="C7" s="66">
        <v>0</v>
      </c>
      <c r="D7" s="51">
        <f>+ROUND(C7,-3)</f>
        <v>0</v>
      </c>
      <c r="G7" s="11"/>
    </row>
    <row r="8" spans="1:7" s="25" customFormat="1" ht="12.75">
      <c r="A8" s="62">
        <v>522151</v>
      </c>
      <c r="B8" s="62" t="s">
        <v>980</v>
      </c>
      <c r="C8" s="59"/>
      <c r="D8" s="59"/>
      <c r="E8" s="59">
        <f>+D7/1000</f>
        <v>0</v>
      </c>
      <c r="G8" s="33"/>
    </row>
    <row r="9" spans="2:13" ht="12.75">
      <c r="B9" s="13" t="s">
        <v>1366</v>
      </c>
      <c r="C9" s="60">
        <f>7*45000*12</f>
        <v>3780000</v>
      </c>
      <c r="D9" s="8">
        <v>3780000</v>
      </c>
      <c r="E9" s="8"/>
      <c r="G9" s="1273"/>
      <c r="H9" s="1274"/>
      <c r="I9" s="1274"/>
      <c r="J9" s="1274"/>
      <c r="K9" s="1274"/>
      <c r="L9" s="1274"/>
      <c r="M9" s="1274"/>
    </row>
    <row r="10" spans="1:5" ht="12.75">
      <c r="A10" s="62">
        <v>52216</v>
      </c>
      <c r="B10" s="62" t="s">
        <v>1513</v>
      </c>
      <c r="C10" s="59"/>
      <c r="D10" s="59"/>
      <c r="E10" s="59">
        <f>+D9/1000</f>
        <v>3780</v>
      </c>
    </row>
    <row r="12" spans="1:5" ht="15.75">
      <c r="A12" s="1272" t="s">
        <v>1503</v>
      </c>
      <c r="B12" s="1272"/>
      <c r="C12" s="1272"/>
      <c r="D12" s="1272"/>
      <c r="E12" s="76">
        <f>E8+E10</f>
        <v>3780</v>
      </c>
    </row>
    <row r="15" spans="1:5" ht="12.75">
      <c r="A15" s="1134" t="s">
        <v>1504</v>
      </c>
      <c r="B15" s="1263"/>
      <c r="C15" s="1263"/>
      <c r="D15" s="1263"/>
      <c r="E15" s="1263"/>
    </row>
    <row r="17" spans="1:5" ht="15.75">
      <c r="A17" s="92">
        <v>53112</v>
      </c>
      <c r="B17" s="37" t="s">
        <v>1212</v>
      </c>
      <c r="C17" s="63"/>
      <c r="D17" s="43"/>
      <c r="E17" s="35">
        <f>+E12*0.27</f>
        <v>1020.6</v>
      </c>
    </row>
    <row r="18" spans="1:5" ht="15.75">
      <c r="A18" s="1275" t="s">
        <v>992</v>
      </c>
      <c r="B18" s="1275"/>
      <c r="C18" s="1275"/>
      <c r="D18" s="1275"/>
      <c r="E18" s="448">
        <f>+E17</f>
        <v>1020.6</v>
      </c>
    </row>
    <row r="21" spans="1:5" ht="12.75">
      <c r="A21" s="1134" t="s">
        <v>1506</v>
      </c>
      <c r="B21" s="1263"/>
      <c r="C21" s="1263"/>
      <c r="D21" s="1263"/>
      <c r="E21" s="1263"/>
    </row>
    <row r="22" spans="1:5" ht="12.75">
      <c r="A22" s="1129" t="s">
        <v>994</v>
      </c>
      <c r="B22" s="1129"/>
      <c r="C22" s="1129"/>
      <c r="D22" s="1129"/>
      <c r="E22" s="1129"/>
    </row>
    <row r="23" spans="1:5" ht="12.75">
      <c r="A23" s="1129" t="s">
        <v>997</v>
      </c>
      <c r="B23" s="1129"/>
      <c r="C23" s="1129"/>
      <c r="D23" s="1129"/>
      <c r="E23" s="1129"/>
    </row>
    <row r="24" spans="1:5" ht="12.75">
      <c r="A24" s="62">
        <v>55219</v>
      </c>
      <c r="B24" s="68" t="s">
        <v>1031</v>
      </c>
      <c r="C24" s="59">
        <f>SUM(C25:C29)</f>
        <v>1600000</v>
      </c>
      <c r="D24" s="59">
        <f>+ROUND(C24,-3)</f>
        <v>1600000</v>
      </c>
      <c r="E24" s="59">
        <f>+D24/1000</f>
        <v>1600</v>
      </c>
    </row>
    <row r="25" spans="1:5" ht="12.75">
      <c r="A25" s="52"/>
      <c r="B25" s="74" t="s">
        <v>784</v>
      </c>
      <c r="C25" s="872">
        <v>100000</v>
      </c>
      <c r="D25" s="52"/>
      <c r="E25" s="52"/>
    </row>
    <row r="26" spans="1:5" ht="12.75">
      <c r="A26" s="52"/>
      <c r="B26" s="272" t="s">
        <v>1180</v>
      </c>
      <c r="C26" s="75">
        <f>100000*12</f>
        <v>1200000</v>
      </c>
      <c r="D26" s="52"/>
      <c r="E26" s="52"/>
    </row>
    <row r="27" spans="1:5" ht="12.75">
      <c r="A27" s="52"/>
      <c r="B27" s="272" t="s">
        <v>96</v>
      </c>
      <c r="C27" s="75">
        <v>0</v>
      </c>
      <c r="D27" s="52"/>
      <c r="E27" s="52"/>
    </row>
    <row r="28" spans="1:5" ht="12.75">
      <c r="A28" s="52"/>
      <c r="B28" s="272" t="s">
        <v>97</v>
      </c>
      <c r="C28" s="75">
        <v>0</v>
      </c>
      <c r="D28" s="52"/>
      <c r="E28" s="52"/>
    </row>
    <row r="29" spans="2:5" ht="12.75">
      <c r="B29" s="22" t="s">
        <v>261</v>
      </c>
      <c r="C29" s="8">
        <v>300000</v>
      </c>
      <c r="D29" s="8"/>
      <c r="E29" s="8"/>
    </row>
    <row r="32" spans="1:5" ht="12.75">
      <c r="A32" s="1129" t="s">
        <v>1004</v>
      </c>
      <c r="B32" s="1129"/>
      <c r="C32" s="1129"/>
      <c r="D32" s="1129"/>
      <c r="E32" s="1129"/>
    </row>
    <row r="33" spans="1:5" ht="12.75">
      <c r="A33" s="52"/>
      <c r="B33" s="52"/>
      <c r="C33" s="52"/>
      <c r="D33" s="52"/>
      <c r="E33" s="52"/>
    </row>
    <row r="34" spans="1:5" ht="12.75">
      <c r="A34" s="52"/>
      <c r="B34" s="52"/>
      <c r="C34" s="52"/>
      <c r="D34" s="52"/>
      <c r="E34" s="52"/>
    </row>
    <row r="35" spans="1:5" ht="12.75">
      <c r="A35" s="69">
        <v>56111</v>
      </c>
      <c r="B35" s="70" t="s">
        <v>1005</v>
      </c>
      <c r="C35" s="70">
        <f>+(C26+C25+C51)*0.27</f>
        <v>351000</v>
      </c>
      <c r="D35" s="59">
        <f>+ROUND(C35,-3)</f>
        <v>351000</v>
      </c>
      <c r="E35" s="59">
        <f>+D35/1000</f>
        <v>351</v>
      </c>
    </row>
    <row r="36" spans="1:5" ht="12.75">
      <c r="A36" s="64"/>
      <c r="B36" s="64"/>
      <c r="C36" s="64"/>
      <c r="D36" s="56"/>
      <c r="E36" s="56"/>
    </row>
    <row r="37" spans="1:5" ht="12.75">
      <c r="A37" s="62">
        <v>56213</v>
      </c>
      <c r="B37" s="62" t="s">
        <v>1007</v>
      </c>
      <c r="C37" s="62"/>
      <c r="D37" s="59"/>
      <c r="E37" s="59">
        <v>150</v>
      </c>
    </row>
    <row r="39" spans="1:5" ht="12.75">
      <c r="A39" s="62">
        <v>56214</v>
      </c>
      <c r="B39" s="62" t="s">
        <v>1027</v>
      </c>
      <c r="C39" s="59"/>
      <c r="D39" s="59"/>
      <c r="E39" s="59"/>
    </row>
    <row r="41" spans="1:5" ht="15.75">
      <c r="A41" s="1272" t="s">
        <v>162</v>
      </c>
      <c r="B41" s="1272"/>
      <c r="C41" s="1272"/>
      <c r="D41" s="1272"/>
      <c r="E41" s="71">
        <f>+E24+E37+E39+E35</f>
        <v>2101</v>
      </c>
    </row>
    <row r="43" spans="1:7" ht="15.75">
      <c r="A43" s="1268" t="s">
        <v>972</v>
      </c>
      <c r="B43" s="1268"/>
      <c r="C43" s="1268"/>
      <c r="D43" s="1268"/>
      <c r="E43" s="77">
        <f>E12+E18+E41</f>
        <v>6901.6</v>
      </c>
      <c r="F43" s="8"/>
      <c r="G43" s="8"/>
    </row>
    <row r="44" spans="6:7" ht="12.75">
      <c r="F44" s="8"/>
      <c r="G44" s="8"/>
    </row>
    <row r="45" spans="6:7" ht="12.75">
      <c r="F45" s="8"/>
      <c r="G45" s="8"/>
    </row>
    <row r="46" spans="1:7" ht="15">
      <c r="A46" s="1271" t="s">
        <v>164</v>
      </c>
      <c r="B46" s="1271"/>
      <c r="C46" s="1271"/>
      <c r="D46" s="1271"/>
      <c r="E46" s="1271"/>
      <c r="F46" s="8"/>
      <c r="G46" s="8"/>
    </row>
    <row r="47" spans="6:7" ht="12.75">
      <c r="F47" s="8"/>
      <c r="G47" s="8"/>
    </row>
    <row r="48" spans="1:7" ht="12.75">
      <c r="A48" s="1129"/>
      <c r="B48" s="1129"/>
      <c r="C48" s="1129"/>
      <c r="D48" s="1129"/>
      <c r="E48" s="1129"/>
      <c r="F48" s="8"/>
      <c r="G48" s="8"/>
    </row>
    <row r="49" spans="6:7" ht="12.75">
      <c r="F49" s="8"/>
      <c r="G49" s="8"/>
    </row>
    <row r="50" spans="1:7" ht="15.75">
      <c r="A50" s="1272"/>
      <c r="B50" s="1272"/>
      <c r="C50" s="1272"/>
      <c r="D50" s="1272"/>
      <c r="E50" s="71"/>
      <c r="F50" s="8"/>
      <c r="G50" s="8"/>
    </row>
    <row r="51" spans="6:7" ht="12.75">
      <c r="F51" s="8"/>
      <c r="G51" s="8"/>
    </row>
    <row r="52" spans="1:7" ht="12.75">
      <c r="A52" s="873"/>
      <c r="B52" s="874"/>
      <c r="C52" s="874"/>
      <c r="D52" s="873"/>
      <c r="F52" s="8"/>
      <c r="G52" s="8"/>
    </row>
    <row r="53" spans="6:7" ht="12.75">
      <c r="F53" s="8"/>
      <c r="G53" s="8"/>
    </row>
    <row r="54" spans="1:7" ht="15.75">
      <c r="A54" s="1272"/>
      <c r="B54" s="1272"/>
      <c r="C54" s="1272"/>
      <c r="D54" s="1272"/>
      <c r="E54" s="71"/>
      <c r="F54" s="8"/>
      <c r="G54" s="8"/>
    </row>
    <row r="55" spans="6:7" ht="12.75">
      <c r="F55" s="8"/>
      <c r="G55" s="8"/>
    </row>
    <row r="56" spans="1:7" ht="12.75">
      <c r="A56" s="1129"/>
      <c r="B56" s="1129"/>
      <c r="C56" s="1129"/>
      <c r="D56" s="1129"/>
      <c r="E56" s="1129"/>
      <c r="F56" s="8"/>
      <c r="G56" s="8"/>
    </row>
    <row r="57" spans="6:7" ht="12.75">
      <c r="F57" s="8"/>
      <c r="G57" s="8"/>
    </row>
    <row r="58" spans="1:7" ht="15.75">
      <c r="A58" s="1272"/>
      <c r="B58" s="1272"/>
      <c r="C58" s="1272"/>
      <c r="D58" s="1272"/>
      <c r="E58" s="71"/>
      <c r="F58" s="8"/>
      <c r="G58" s="8"/>
    </row>
    <row r="59" spans="6:7" ht="12.75">
      <c r="F59" s="8"/>
      <c r="G59" s="8"/>
    </row>
    <row r="60" spans="1:7" ht="12.75">
      <c r="A60" s="1129"/>
      <c r="B60" s="1129"/>
      <c r="C60" s="1129"/>
      <c r="D60" s="1129"/>
      <c r="E60" s="1129"/>
      <c r="F60" s="8"/>
      <c r="G60" s="8"/>
    </row>
    <row r="61" spans="6:7" ht="12.75">
      <c r="F61" s="8"/>
      <c r="G61" s="8"/>
    </row>
    <row r="62" spans="1:7" ht="15.75">
      <c r="A62" s="1272"/>
      <c r="B62" s="1272"/>
      <c r="C62" s="1272"/>
      <c r="D62" s="1272"/>
      <c r="E62" s="71"/>
      <c r="F62" s="8"/>
      <c r="G62" s="8"/>
    </row>
    <row r="63" spans="6:7" ht="12.75">
      <c r="F63" s="8"/>
      <c r="G63" s="8"/>
    </row>
    <row r="64" spans="1:7" ht="15.75">
      <c r="A64" s="1268" t="s">
        <v>973</v>
      </c>
      <c r="B64" s="1268"/>
      <c r="C64" s="1268"/>
      <c r="D64" s="1268"/>
      <c r="E64" s="77">
        <f>E51+E52</f>
        <v>0</v>
      </c>
      <c r="F64" s="8"/>
      <c r="G64" s="8"/>
    </row>
    <row r="65" spans="6:7" ht="12.75">
      <c r="F65" s="8"/>
      <c r="G65" s="8"/>
    </row>
    <row r="66" spans="6:7" ht="12.75">
      <c r="F66" s="8"/>
      <c r="G66" s="8"/>
    </row>
    <row r="67" spans="6:7" ht="12.75">
      <c r="F67" s="8"/>
      <c r="G67" s="8"/>
    </row>
    <row r="68" spans="6:7" ht="12.75">
      <c r="F68" s="8"/>
      <c r="G68" s="8"/>
    </row>
    <row r="69" spans="6:7" ht="12.75">
      <c r="F69" s="8"/>
      <c r="G69" s="8"/>
    </row>
    <row r="70" spans="6:7" ht="12.75">
      <c r="F70" s="8"/>
      <c r="G70" s="8"/>
    </row>
    <row r="71" spans="6:7" ht="12.75">
      <c r="F71" s="8"/>
      <c r="G71" s="8"/>
    </row>
    <row r="72" spans="6:7" ht="12.75">
      <c r="F72" s="8"/>
      <c r="G72" s="8"/>
    </row>
    <row r="73" spans="6:7" ht="12.75">
      <c r="F73" s="8"/>
      <c r="G73" s="8"/>
    </row>
    <row r="74" spans="6:7" ht="12.75">
      <c r="F74" s="8"/>
      <c r="G74" s="8"/>
    </row>
    <row r="75" spans="6:7" ht="12.75">
      <c r="F75" s="8"/>
      <c r="G75" s="8"/>
    </row>
    <row r="76" spans="6:7" ht="12.75">
      <c r="F76" s="8"/>
      <c r="G76" s="8"/>
    </row>
    <row r="77" spans="6:7" ht="12.75">
      <c r="F77" s="8"/>
      <c r="G77" s="8"/>
    </row>
    <row r="78" spans="6:7" ht="12.75">
      <c r="F78" s="11"/>
      <c r="G78" s="8"/>
    </row>
    <row r="79" spans="6:7" ht="12.75">
      <c r="F79" s="8"/>
      <c r="G79" s="8"/>
    </row>
    <row r="80" spans="6:7" ht="12.75">
      <c r="F80" s="8"/>
      <c r="G80" s="8"/>
    </row>
    <row r="81" spans="6:7" ht="12.75">
      <c r="F81" s="8"/>
      <c r="G81" s="8"/>
    </row>
    <row r="82" spans="6:7" ht="12.75">
      <c r="F82" s="8"/>
      <c r="G82" s="8"/>
    </row>
    <row r="83" spans="6:7" ht="12.75">
      <c r="F83" s="8"/>
      <c r="G83" s="8"/>
    </row>
    <row r="84" spans="6:7" ht="12.75">
      <c r="F84" s="8"/>
      <c r="G84" s="8"/>
    </row>
    <row r="85" spans="6:7" ht="12.75">
      <c r="F85" s="8"/>
      <c r="G85" s="8"/>
    </row>
    <row r="86" spans="6:7" ht="12.75">
      <c r="F86" s="8"/>
      <c r="G86" s="8"/>
    </row>
    <row r="87" spans="6:7" ht="12.75">
      <c r="F87" s="8"/>
      <c r="G87" s="8"/>
    </row>
    <row r="88" spans="6:7" ht="12.75">
      <c r="F88" s="8"/>
      <c r="G88" s="8"/>
    </row>
    <row r="89" spans="6:7" ht="12.75">
      <c r="F89" s="8"/>
      <c r="G89" s="8"/>
    </row>
    <row r="90" spans="6:7" ht="12.75">
      <c r="F90" s="8"/>
      <c r="G90" s="8"/>
    </row>
    <row r="91" spans="6:7" ht="12.75">
      <c r="F91" s="8"/>
      <c r="G91" s="8"/>
    </row>
    <row r="92" spans="6:7" ht="12.75">
      <c r="F92" s="11"/>
      <c r="G92" s="8"/>
    </row>
    <row r="93" spans="6:7" ht="12.75">
      <c r="F93" s="8"/>
      <c r="G93" s="8"/>
    </row>
    <row r="94" spans="6:7" ht="12.75">
      <c r="F94" s="8"/>
      <c r="G94" s="8"/>
    </row>
    <row r="95" spans="6:7" ht="12.75">
      <c r="F95" s="8"/>
      <c r="G95" s="8"/>
    </row>
    <row r="96" spans="6:7" ht="12.75">
      <c r="F96" s="8"/>
      <c r="G96" s="8"/>
    </row>
    <row r="97" spans="6:7" ht="12.75">
      <c r="F97" s="8"/>
      <c r="G97" s="8"/>
    </row>
    <row r="98" spans="6:7" ht="12.75">
      <c r="F98" s="8"/>
      <c r="G98" s="8"/>
    </row>
    <row r="99" spans="6:7" ht="12.75">
      <c r="F99" s="8"/>
      <c r="G99" s="8"/>
    </row>
    <row r="100" spans="6:7" ht="12.75">
      <c r="F100" s="8"/>
      <c r="G100" s="8"/>
    </row>
    <row r="101" spans="6:7" ht="12.75">
      <c r="F101" s="8"/>
      <c r="G101" s="8"/>
    </row>
    <row r="102" spans="6:7" ht="12.75">
      <c r="F102" s="8"/>
      <c r="G102" s="8"/>
    </row>
    <row r="103" spans="6:7" ht="12.75">
      <c r="F103" s="8"/>
      <c r="G103" s="8"/>
    </row>
    <row r="104" spans="6:7" ht="12.75">
      <c r="F104" s="8"/>
      <c r="G104" s="8"/>
    </row>
    <row r="105" spans="6:7" ht="12.75">
      <c r="F105" s="8"/>
      <c r="G105" s="8"/>
    </row>
    <row r="106" spans="6:7" ht="12.75">
      <c r="F106" s="8"/>
      <c r="G106" s="8"/>
    </row>
    <row r="107" spans="6:7" ht="12.75">
      <c r="F107" s="8"/>
      <c r="G107" s="8"/>
    </row>
    <row r="108" spans="6:7" ht="12.75">
      <c r="F108" s="8"/>
      <c r="G108" s="8"/>
    </row>
    <row r="109" spans="6:7" ht="12.75">
      <c r="F109" s="8"/>
      <c r="G109" s="8"/>
    </row>
    <row r="110" spans="6:7" ht="12.75">
      <c r="F110" s="8"/>
      <c r="G110" s="8"/>
    </row>
    <row r="111" spans="6:7" ht="12.75">
      <c r="F111" s="8"/>
      <c r="G111" s="8"/>
    </row>
    <row r="112" spans="6:7" ht="12.75">
      <c r="F112" s="8"/>
      <c r="G112" s="8"/>
    </row>
    <row r="113" spans="6:7" ht="12.75">
      <c r="F113" s="8"/>
      <c r="G113" s="8"/>
    </row>
    <row r="114" spans="6:7" ht="12.75">
      <c r="F114" s="8"/>
      <c r="G114" s="8"/>
    </row>
    <row r="115" spans="6:7" ht="12.75">
      <c r="F115" s="8"/>
      <c r="G115" s="8"/>
    </row>
    <row r="116" spans="6:7" ht="12.75">
      <c r="F116" s="8"/>
      <c r="G116" s="8"/>
    </row>
    <row r="117" spans="6:7" ht="12.75">
      <c r="F117" s="8"/>
      <c r="G117" s="8"/>
    </row>
    <row r="118" spans="6:7" ht="12.75">
      <c r="F118" s="8"/>
      <c r="G118" s="8"/>
    </row>
    <row r="119" spans="6:7" ht="12.75">
      <c r="F119" s="8"/>
      <c r="G119" s="8"/>
    </row>
    <row r="120" spans="6:7" ht="12.75">
      <c r="F120" s="8"/>
      <c r="G120" s="8"/>
    </row>
    <row r="121" spans="6:7" ht="12.75">
      <c r="F121" s="8"/>
      <c r="G121" s="8"/>
    </row>
    <row r="122" spans="6:7" ht="12.75">
      <c r="F122" s="8"/>
      <c r="G122" s="8"/>
    </row>
    <row r="123" spans="6:7" ht="12.75">
      <c r="F123" s="8"/>
      <c r="G123" s="8"/>
    </row>
    <row r="124" spans="6:7" ht="12.75">
      <c r="F124" s="8"/>
      <c r="G124" s="8"/>
    </row>
    <row r="125" spans="6:7" ht="12.75">
      <c r="F125" s="8"/>
      <c r="G125" s="8"/>
    </row>
    <row r="126" spans="6:7" ht="12.75">
      <c r="F126" s="8"/>
      <c r="G126" s="8"/>
    </row>
    <row r="127" spans="6:7" ht="12.75">
      <c r="F127" s="8"/>
      <c r="G127" s="8"/>
    </row>
    <row r="128" spans="6:7" ht="12.75">
      <c r="F128" s="8"/>
      <c r="G128" s="8"/>
    </row>
    <row r="129" spans="6:7" ht="12.75">
      <c r="F129" s="8"/>
      <c r="G129" s="8"/>
    </row>
    <row r="130" spans="6:7" ht="12.75">
      <c r="F130" s="8"/>
      <c r="G130" s="8"/>
    </row>
    <row r="131" spans="6:7" ht="12.75">
      <c r="F131" s="8"/>
      <c r="G131" s="8"/>
    </row>
    <row r="132" spans="6:7" ht="12.75">
      <c r="F132" s="8"/>
      <c r="G132" s="8"/>
    </row>
    <row r="133" spans="6:7" ht="12.75">
      <c r="F133" s="8"/>
      <c r="G133" s="8"/>
    </row>
    <row r="134" spans="6:7" ht="12.75">
      <c r="F134" s="8"/>
      <c r="G134" s="8"/>
    </row>
    <row r="135" spans="6:7" ht="12.75">
      <c r="F135" s="8"/>
      <c r="G135" s="8"/>
    </row>
    <row r="136" spans="6:7" ht="12.75">
      <c r="F136" s="8"/>
      <c r="G136" s="8"/>
    </row>
    <row r="137" spans="6:7" ht="12.75">
      <c r="F137" s="8"/>
      <c r="G137" s="8"/>
    </row>
    <row r="138" spans="6:7" ht="12.75">
      <c r="F138" s="8"/>
      <c r="G138" s="8"/>
    </row>
    <row r="139" spans="6:7" ht="12.75">
      <c r="F139" s="8"/>
      <c r="G139" s="8"/>
    </row>
    <row r="140" spans="6:7" ht="12.75">
      <c r="F140" s="8"/>
      <c r="G140" s="8"/>
    </row>
    <row r="141" spans="6:7" ht="12.75">
      <c r="F141" s="8"/>
      <c r="G141" s="8"/>
    </row>
    <row r="142" spans="6:7" ht="12.75">
      <c r="F142" s="8"/>
      <c r="G142" s="8"/>
    </row>
    <row r="143" spans="6:7" ht="12.75">
      <c r="F143" s="8"/>
      <c r="G143" s="8"/>
    </row>
    <row r="144" spans="6:7" ht="12.75">
      <c r="F144" s="8"/>
      <c r="G144" s="8"/>
    </row>
    <row r="145" spans="6:7" ht="12.75">
      <c r="F145" s="8"/>
      <c r="G145" s="8"/>
    </row>
    <row r="146" spans="6:7" ht="12.75">
      <c r="F146" s="8"/>
      <c r="G146" s="8"/>
    </row>
    <row r="147" spans="6:7" ht="12.75">
      <c r="F147" s="8"/>
      <c r="G147" s="8"/>
    </row>
    <row r="148" spans="6:7" ht="12.75">
      <c r="F148" s="8"/>
      <c r="G148" s="8"/>
    </row>
    <row r="149" spans="6:7" ht="12.75">
      <c r="F149" s="8"/>
      <c r="G149" s="8"/>
    </row>
    <row r="150" spans="6:7" ht="12.75">
      <c r="F150" s="8"/>
      <c r="G150" s="8"/>
    </row>
    <row r="151" spans="6:7" ht="12.75">
      <c r="F151" s="8"/>
      <c r="G151" s="8"/>
    </row>
    <row r="152" spans="6:7" ht="12.75">
      <c r="F152" s="8"/>
      <c r="G152" s="8"/>
    </row>
    <row r="153" spans="6:7" ht="12.75">
      <c r="F153" s="8"/>
      <c r="G153" s="8"/>
    </row>
    <row r="154" spans="6:7" ht="12.75">
      <c r="F154" s="8"/>
      <c r="G154" s="8"/>
    </row>
    <row r="155" spans="6:7" ht="12.75">
      <c r="F155" s="8"/>
      <c r="G155" s="8"/>
    </row>
    <row r="156" spans="6:7" ht="12.75">
      <c r="F156" s="8"/>
      <c r="G156" s="8"/>
    </row>
    <row r="157" spans="6:7" ht="12.75">
      <c r="F157" s="8"/>
      <c r="G157" s="8"/>
    </row>
    <row r="158" spans="6:7" ht="12.75">
      <c r="F158" s="8"/>
      <c r="G158" s="8"/>
    </row>
    <row r="159" spans="6:7" ht="12.75">
      <c r="F159" s="8"/>
      <c r="G159" s="8"/>
    </row>
    <row r="160" spans="6:7" ht="12.75">
      <c r="F160" s="8"/>
      <c r="G160" s="8"/>
    </row>
    <row r="161" spans="6:7" ht="12.75">
      <c r="F161" s="8"/>
      <c r="G161" s="8"/>
    </row>
    <row r="162" spans="6:7" ht="12.75">
      <c r="F162" s="8"/>
      <c r="G162" s="8"/>
    </row>
    <row r="163" spans="6:7" ht="12.75">
      <c r="F163" s="8"/>
      <c r="G163" s="8"/>
    </row>
    <row r="164" spans="6:7" ht="12.75">
      <c r="F164" s="8"/>
      <c r="G164" s="8"/>
    </row>
    <row r="165" spans="6:7" ht="12.75">
      <c r="F165" s="8"/>
      <c r="G165" s="8"/>
    </row>
    <row r="166" spans="6:7" ht="12.75">
      <c r="F166" s="8"/>
      <c r="G166" s="8"/>
    </row>
    <row r="167" spans="6:7" ht="12.75">
      <c r="F167" s="8"/>
      <c r="G167" s="8"/>
    </row>
    <row r="168" spans="6:7" ht="12.75">
      <c r="F168" s="8"/>
      <c r="G168" s="8"/>
    </row>
    <row r="169" spans="6:7" ht="12.75">
      <c r="F169" s="8"/>
      <c r="G169" s="8"/>
    </row>
    <row r="170" spans="6:7" ht="12.75">
      <c r="F170" s="8"/>
      <c r="G170" s="8"/>
    </row>
    <row r="171" spans="6:7" ht="12.75">
      <c r="F171" s="8"/>
      <c r="G171" s="8"/>
    </row>
    <row r="172" spans="6:7" ht="12.75">
      <c r="F172" s="8"/>
      <c r="G172" s="8"/>
    </row>
    <row r="173" spans="6:7" ht="12.75">
      <c r="F173" s="8"/>
      <c r="G173" s="8"/>
    </row>
    <row r="174" spans="6:7" ht="12.75">
      <c r="F174" s="8"/>
      <c r="G174" s="8"/>
    </row>
    <row r="175" spans="6:7" ht="12.75">
      <c r="F175" s="8"/>
      <c r="G175" s="8"/>
    </row>
    <row r="176" spans="6:7" ht="12.75">
      <c r="F176" s="8"/>
      <c r="G176" s="8"/>
    </row>
    <row r="177" spans="6:7" ht="12.75">
      <c r="F177" s="8"/>
      <c r="G177" s="8"/>
    </row>
    <row r="178" spans="6:7" ht="12.75">
      <c r="F178" s="8"/>
      <c r="G178" s="8"/>
    </row>
    <row r="179" spans="6:7" ht="12.75">
      <c r="F179" s="8"/>
      <c r="G179" s="8"/>
    </row>
    <row r="180" spans="6:7" ht="12.75">
      <c r="F180" s="8"/>
      <c r="G180" s="8"/>
    </row>
    <row r="181" spans="6:7" ht="12.75">
      <c r="F181" s="8"/>
      <c r="G181" s="8"/>
    </row>
    <row r="182" spans="6:7" ht="12.75">
      <c r="F182" s="8"/>
      <c r="G182" s="8"/>
    </row>
    <row r="183" spans="6:7" ht="12.75">
      <c r="F183" s="8"/>
      <c r="G183" s="8"/>
    </row>
    <row r="184" spans="6:7" ht="12.75">
      <c r="F184" s="8"/>
      <c r="G184" s="8"/>
    </row>
    <row r="185" spans="6:7" ht="12.75">
      <c r="F185" s="8"/>
      <c r="G185" s="8"/>
    </row>
    <row r="186" spans="6:7" ht="12.75">
      <c r="F186" s="8"/>
      <c r="G186" s="8"/>
    </row>
    <row r="187" spans="6:7" ht="12.75">
      <c r="F187" s="8"/>
      <c r="G187" s="8"/>
    </row>
    <row r="188" spans="6:7" ht="12.75">
      <c r="F188" s="8"/>
      <c r="G188" s="8"/>
    </row>
    <row r="189" spans="6:7" ht="12.75">
      <c r="F189" s="8"/>
      <c r="G189" s="8"/>
    </row>
    <row r="190" spans="6:7" ht="12.75">
      <c r="F190" s="8"/>
      <c r="G190" s="8"/>
    </row>
    <row r="191" spans="6:7" ht="12.75">
      <c r="F191" s="8"/>
      <c r="G191" s="8"/>
    </row>
    <row r="192" spans="6:7" ht="12.75">
      <c r="F192" s="8"/>
      <c r="G192" s="8"/>
    </row>
    <row r="193" spans="6:7" ht="12.75">
      <c r="F193" s="8"/>
      <c r="G193" s="8"/>
    </row>
    <row r="194" spans="6:7" ht="12.75">
      <c r="F194" s="8"/>
      <c r="G194" s="8"/>
    </row>
    <row r="195" spans="6:7" ht="12.75">
      <c r="F195" s="8"/>
      <c r="G195" s="8"/>
    </row>
    <row r="196" spans="6:7" ht="12.75">
      <c r="F196" s="8"/>
      <c r="G196" s="8"/>
    </row>
    <row r="197" spans="6:7" ht="12.75">
      <c r="F197" s="8"/>
      <c r="G197" s="8"/>
    </row>
    <row r="198" spans="6:7" ht="12.75">
      <c r="F198" s="8"/>
      <c r="G198" s="8"/>
    </row>
    <row r="199" spans="6:7" ht="12.75">
      <c r="F199" s="8"/>
      <c r="G199" s="8"/>
    </row>
    <row r="200" spans="6:7" ht="12.75">
      <c r="F200" s="8"/>
      <c r="G200" s="8"/>
    </row>
    <row r="201" spans="6:7" ht="12.75">
      <c r="F201" s="8"/>
      <c r="G201" s="8"/>
    </row>
    <row r="202" spans="6:7" ht="12.75">
      <c r="F202" s="8"/>
      <c r="G202" s="8"/>
    </row>
    <row r="203" spans="6:7" ht="12.75">
      <c r="F203" s="8"/>
      <c r="G203" s="8"/>
    </row>
    <row r="204" spans="6:7" ht="12.75">
      <c r="F204" s="8"/>
      <c r="G204" s="8"/>
    </row>
    <row r="205" spans="6:7" ht="12.75">
      <c r="F205" s="8"/>
      <c r="G205" s="8"/>
    </row>
    <row r="206" spans="6:7" ht="12.75">
      <c r="F206" s="8"/>
      <c r="G206" s="8"/>
    </row>
    <row r="207" spans="6:7" ht="12.75">
      <c r="F207" s="8"/>
      <c r="G207" s="8"/>
    </row>
    <row r="208" spans="6:7" ht="12.75">
      <c r="F208" s="8"/>
      <c r="G208" s="8"/>
    </row>
    <row r="209" spans="6:7" ht="12.75">
      <c r="F209" s="8"/>
      <c r="G209" s="8"/>
    </row>
    <row r="210" spans="6:7" ht="12.75">
      <c r="F210" s="8"/>
      <c r="G210" s="8"/>
    </row>
    <row r="211" spans="6:7" ht="12.75">
      <c r="F211" s="8"/>
      <c r="G211" s="8"/>
    </row>
    <row r="212" spans="6:7" ht="12.75">
      <c r="F212" s="8"/>
      <c r="G212" s="8"/>
    </row>
    <row r="213" spans="6:7" ht="12.75">
      <c r="F213" s="8"/>
      <c r="G213" s="8"/>
    </row>
    <row r="214" spans="6:7" ht="12.75">
      <c r="F214" s="8"/>
      <c r="G214" s="8"/>
    </row>
    <row r="215" spans="6:7" ht="12.75">
      <c r="F215" s="8"/>
      <c r="G215" s="8"/>
    </row>
    <row r="216" spans="6:7" ht="12.75">
      <c r="F216" s="8"/>
      <c r="G216" s="8"/>
    </row>
    <row r="217" spans="6:7" ht="12.75">
      <c r="F217" s="8"/>
      <c r="G217" s="8"/>
    </row>
    <row r="218" spans="6:7" ht="12.75">
      <c r="F218" s="8"/>
      <c r="G218" s="8"/>
    </row>
    <row r="219" spans="6:7" ht="12.75">
      <c r="F219" s="8"/>
      <c r="G219" s="8"/>
    </row>
    <row r="220" spans="6:7" ht="12.75">
      <c r="F220" s="8"/>
      <c r="G220" s="8"/>
    </row>
    <row r="221" spans="6:7" ht="12.75">
      <c r="F221" s="8"/>
      <c r="G221" s="8"/>
    </row>
    <row r="222" spans="6:7" ht="12.75">
      <c r="F222" s="8"/>
      <c r="G222" s="8"/>
    </row>
    <row r="223" spans="6:7" ht="12.75">
      <c r="F223" s="8"/>
      <c r="G223" s="8"/>
    </row>
    <row r="224" spans="6:7" ht="12.75">
      <c r="F224" s="8"/>
      <c r="G224" s="8"/>
    </row>
    <row r="225" spans="6:7" ht="12.75">
      <c r="F225" s="8"/>
      <c r="G225" s="8"/>
    </row>
    <row r="226" spans="6:7" ht="12.75">
      <c r="F226" s="8"/>
      <c r="G226" s="8"/>
    </row>
    <row r="227" spans="6:7" ht="12.75">
      <c r="F227" s="8"/>
      <c r="G227" s="8"/>
    </row>
    <row r="228" spans="6:7" ht="12.75">
      <c r="F228" s="8"/>
      <c r="G228" s="8"/>
    </row>
    <row r="229" spans="6:7" ht="12.75">
      <c r="F229" s="8"/>
      <c r="G229" s="8"/>
    </row>
    <row r="230" spans="6:7" ht="12.75">
      <c r="F230" s="8"/>
      <c r="G230" s="8"/>
    </row>
    <row r="231" spans="6:7" ht="12.75">
      <c r="F231" s="8"/>
      <c r="G231" s="8"/>
    </row>
    <row r="232" spans="6:7" ht="12.75">
      <c r="F232" s="8"/>
      <c r="G232" s="8"/>
    </row>
    <row r="233" spans="6:7" ht="12.75">
      <c r="F233" s="8"/>
      <c r="G233" s="8"/>
    </row>
    <row r="234" spans="6:7" ht="12.75">
      <c r="F234" s="8"/>
      <c r="G234" s="8"/>
    </row>
    <row r="235" spans="6:7" ht="12.75">
      <c r="F235" s="8"/>
      <c r="G235" s="8"/>
    </row>
    <row r="236" spans="6:7" ht="12.75">
      <c r="F236" s="8"/>
      <c r="G236" s="8"/>
    </row>
    <row r="237" spans="6:7" ht="12.75">
      <c r="F237" s="8"/>
      <c r="G237" s="8"/>
    </row>
    <row r="238" spans="6:7" ht="12.75">
      <c r="F238" s="8"/>
      <c r="G238" s="8"/>
    </row>
    <row r="239" spans="6:7" ht="12.75">
      <c r="F239" s="8"/>
      <c r="G239" s="8"/>
    </row>
    <row r="240" spans="6:7" ht="12.75">
      <c r="F240" s="8"/>
      <c r="G240" s="8"/>
    </row>
    <row r="241" spans="6:7" ht="12.75">
      <c r="F241" s="8"/>
      <c r="G241" s="8"/>
    </row>
    <row r="242" spans="6:7" ht="12.75">
      <c r="F242" s="8"/>
      <c r="G242" s="8"/>
    </row>
    <row r="243" spans="6:7" ht="12.75">
      <c r="F243" s="8"/>
      <c r="G243" s="8"/>
    </row>
    <row r="244" spans="6:7" ht="12.75">
      <c r="F244" s="8"/>
      <c r="G244" s="8"/>
    </row>
    <row r="245" spans="6:7" ht="12.75">
      <c r="F245" s="8"/>
      <c r="G245" s="8"/>
    </row>
    <row r="246" spans="6:7" ht="12.75">
      <c r="F246" s="8"/>
      <c r="G246" s="8"/>
    </row>
    <row r="247" spans="6:7" ht="12.75">
      <c r="F247" s="8"/>
      <c r="G247" s="8"/>
    </row>
    <row r="248" spans="6:7" ht="12.75">
      <c r="F248" s="8"/>
      <c r="G248" s="8"/>
    </row>
    <row r="249" spans="6:7" ht="12.75">
      <c r="F249" s="8"/>
      <c r="G249" s="8"/>
    </row>
    <row r="250" spans="6:7" ht="12.75">
      <c r="F250" s="8"/>
      <c r="G250" s="8"/>
    </row>
    <row r="251" spans="6:7" ht="12.75">
      <c r="F251" s="8"/>
      <c r="G251" s="8"/>
    </row>
    <row r="252" spans="6:7" ht="12.75">
      <c r="F252" s="8"/>
      <c r="G252" s="8"/>
    </row>
    <row r="253" spans="6:7" ht="12.75">
      <c r="F253" s="8"/>
      <c r="G253" s="8"/>
    </row>
    <row r="254" spans="6:7" ht="12.75">
      <c r="F254" s="8"/>
      <c r="G254" s="8"/>
    </row>
    <row r="255" spans="6:7" ht="12.75">
      <c r="F255" s="8"/>
      <c r="G255" s="8"/>
    </row>
    <row r="256" spans="6:7" ht="12.75">
      <c r="F256" s="8"/>
      <c r="G256" s="8"/>
    </row>
    <row r="257" spans="6:7" ht="12.75">
      <c r="F257" s="8"/>
      <c r="G257" s="8"/>
    </row>
    <row r="258" spans="6:7" ht="12.75">
      <c r="F258" s="8"/>
      <c r="G258" s="8"/>
    </row>
    <row r="259" spans="6:7" ht="12.75">
      <c r="F259" s="8"/>
      <c r="G259" s="8"/>
    </row>
    <row r="260" spans="6:7" ht="12.75">
      <c r="F260" s="8"/>
      <c r="G260" s="8"/>
    </row>
    <row r="261" spans="6:7" ht="12.75">
      <c r="F261" s="8"/>
      <c r="G261" s="8"/>
    </row>
    <row r="262" spans="6:7" ht="12.75">
      <c r="F262" s="8"/>
      <c r="G262" s="8"/>
    </row>
    <row r="263" spans="6:7" ht="12.75">
      <c r="F263" s="8"/>
      <c r="G263" s="8"/>
    </row>
    <row r="264" spans="6:7" ht="12.75">
      <c r="F264" s="8"/>
      <c r="G264" s="8"/>
    </row>
    <row r="265" spans="6:7" ht="12.75">
      <c r="F265" s="8"/>
      <c r="G265" s="8"/>
    </row>
    <row r="266" spans="6:7" ht="12.75">
      <c r="F266" s="8"/>
      <c r="G266" s="8"/>
    </row>
    <row r="267" spans="6:7" ht="12.75">
      <c r="F267" s="8"/>
      <c r="G267" s="8"/>
    </row>
    <row r="268" spans="6:7" ht="12.75">
      <c r="F268" s="8"/>
      <c r="G268" s="8"/>
    </row>
    <row r="269" spans="6:7" ht="12.75">
      <c r="F269" s="8"/>
      <c r="G269" s="8"/>
    </row>
    <row r="270" spans="6:7" ht="12.75">
      <c r="F270" s="8"/>
      <c r="G270" s="8"/>
    </row>
    <row r="271" spans="6:7" ht="12.75">
      <c r="F271" s="8"/>
      <c r="G271" s="8"/>
    </row>
    <row r="272" spans="6:7" ht="12.75">
      <c r="F272" s="8"/>
      <c r="G272" s="8"/>
    </row>
    <row r="273" spans="6:7" ht="12.75">
      <c r="F273" s="8"/>
      <c r="G273" s="8"/>
    </row>
    <row r="274" spans="6:7" ht="12.75">
      <c r="F274" s="8"/>
      <c r="G274" s="8"/>
    </row>
    <row r="275" spans="6:7" ht="12.75">
      <c r="F275" s="8"/>
      <c r="G275" s="8"/>
    </row>
    <row r="276" spans="6:7" ht="12.75">
      <c r="F276" s="8"/>
      <c r="G276" s="8"/>
    </row>
    <row r="277" spans="6:7" ht="12.75">
      <c r="F277" s="8"/>
      <c r="G277" s="8"/>
    </row>
    <row r="278" spans="6:7" ht="12.75">
      <c r="F278" s="8"/>
      <c r="G278" s="8"/>
    </row>
    <row r="279" spans="6:7" ht="12.75">
      <c r="F279" s="8"/>
      <c r="G279" s="8"/>
    </row>
    <row r="280" spans="6:7" ht="12.75">
      <c r="F280" s="8"/>
      <c r="G280" s="8"/>
    </row>
    <row r="281" spans="6:7" ht="12.75">
      <c r="F281" s="8"/>
      <c r="G281" s="8"/>
    </row>
    <row r="282" spans="6:7" ht="12.75">
      <c r="F282" s="8"/>
      <c r="G282" s="8"/>
    </row>
    <row r="283" spans="6:7" ht="12.75">
      <c r="F283" s="8"/>
      <c r="G283" s="8"/>
    </row>
    <row r="284" spans="6:7" ht="12.75">
      <c r="F284" s="8"/>
      <c r="G284" s="8"/>
    </row>
    <row r="285" spans="6:7" ht="12.75">
      <c r="F285" s="8"/>
      <c r="G285" s="8"/>
    </row>
    <row r="286" spans="6:7" ht="12.75">
      <c r="F286" s="8"/>
      <c r="G286" s="8"/>
    </row>
    <row r="287" spans="6:7" ht="12.75">
      <c r="F287" s="8"/>
      <c r="G287" s="8"/>
    </row>
    <row r="288" spans="6:7" ht="12.75">
      <c r="F288" s="8"/>
      <c r="G288" s="8"/>
    </row>
    <row r="289" spans="6:7" ht="12.75">
      <c r="F289" s="8"/>
      <c r="G289" s="8"/>
    </row>
    <row r="290" spans="6:7" ht="12.75">
      <c r="F290" s="8"/>
      <c r="G290" s="8"/>
    </row>
    <row r="291" spans="6:7" ht="12.75">
      <c r="F291" s="8"/>
      <c r="G291" s="8"/>
    </row>
    <row r="292" spans="6:7" ht="12.75">
      <c r="F292" s="8"/>
      <c r="G292" s="8"/>
    </row>
    <row r="293" spans="6:7" ht="12.75">
      <c r="F293" s="8"/>
      <c r="G293" s="8"/>
    </row>
    <row r="294" spans="6:7" ht="12.75">
      <c r="F294" s="8"/>
      <c r="G294" s="8"/>
    </row>
    <row r="295" spans="6:7" ht="12.75">
      <c r="F295" s="8"/>
      <c r="G295" s="8"/>
    </row>
    <row r="296" spans="6:7" ht="12.75">
      <c r="F296" s="8"/>
      <c r="G296" s="8"/>
    </row>
    <row r="297" spans="6:7" ht="12.75">
      <c r="F297" s="8"/>
      <c r="G297" s="8"/>
    </row>
    <row r="298" spans="6:7" ht="12.75">
      <c r="F298" s="8"/>
      <c r="G298" s="8"/>
    </row>
    <row r="299" spans="6:7" ht="12.75">
      <c r="F299" s="8"/>
      <c r="G299" s="8"/>
    </row>
    <row r="300" spans="6:7" ht="12.75">
      <c r="F300" s="8"/>
      <c r="G300" s="8"/>
    </row>
    <row r="301" spans="6:7" ht="12.75">
      <c r="F301" s="8"/>
      <c r="G301" s="8"/>
    </row>
    <row r="302" spans="6:7" ht="12.75">
      <c r="F302" s="8"/>
      <c r="G302" s="8"/>
    </row>
    <row r="303" spans="6:7" ht="12.75">
      <c r="F303" s="8"/>
      <c r="G303" s="8"/>
    </row>
    <row r="304" spans="6:7" ht="12.75">
      <c r="F304" s="8"/>
      <c r="G304" s="8"/>
    </row>
    <row r="305" spans="6:7" ht="12.75">
      <c r="F305" s="8"/>
      <c r="G305" s="8"/>
    </row>
    <row r="306" spans="6:7" ht="12.75">
      <c r="F306" s="8"/>
      <c r="G306" s="8"/>
    </row>
    <row r="307" spans="6:7" ht="12.75">
      <c r="F307" s="8"/>
      <c r="G307" s="8"/>
    </row>
    <row r="308" spans="6:7" ht="12.75">
      <c r="F308" s="8"/>
      <c r="G308" s="8"/>
    </row>
    <row r="309" spans="6:7" ht="12.75">
      <c r="F309" s="8"/>
      <c r="G309" s="8"/>
    </row>
    <row r="310" spans="6:7" ht="12.75">
      <c r="F310" s="8"/>
      <c r="G310" s="8"/>
    </row>
    <row r="311" spans="6:7" ht="12.75">
      <c r="F311" s="8"/>
      <c r="G311" s="8"/>
    </row>
    <row r="312" spans="6:7" ht="12.75">
      <c r="F312" s="8"/>
      <c r="G312" s="8"/>
    </row>
    <row r="313" spans="6:7" ht="12.75">
      <c r="F313" s="8"/>
      <c r="G313" s="8"/>
    </row>
    <row r="314" spans="6:7" ht="12.75">
      <c r="F314" s="8"/>
      <c r="G314" s="8"/>
    </row>
    <row r="315" spans="6:7" ht="12.75">
      <c r="F315" s="8"/>
      <c r="G315" s="8"/>
    </row>
    <row r="316" spans="6:7" ht="12.75">
      <c r="F316" s="8"/>
      <c r="G316" s="8"/>
    </row>
    <row r="317" spans="6:7" ht="12.75">
      <c r="F317" s="8"/>
      <c r="G317" s="8"/>
    </row>
    <row r="318" spans="6:7" ht="12.75">
      <c r="F318" s="8"/>
      <c r="G318" s="8"/>
    </row>
    <row r="319" spans="6:7" ht="12.75">
      <c r="F319" s="8"/>
      <c r="G319" s="8"/>
    </row>
    <row r="320" spans="6:7" ht="12.75">
      <c r="F320" s="8"/>
      <c r="G320" s="8"/>
    </row>
    <row r="321" spans="6:7" ht="12.75">
      <c r="F321" s="8"/>
      <c r="G321" s="8"/>
    </row>
    <row r="322" spans="6:7" ht="12.75">
      <c r="F322" s="8"/>
      <c r="G322" s="8"/>
    </row>
    <row r="323" spans="6:7" ht="12.75">
      <c r="F323" s="8"/>
      <c r="G323" s="8"/>
    </row>
    <row r="324" spans="6:7" ht="12.75">
      <c r="F324" s="8"/>
      <c r="G324" s="8"/>
    </row>
    <row r="325" spans="6:7" ht="12.75">
      <c r="F325" s="8"/>
      <c r="G325" s="8"/>
    </row>
    <row r="326" spans="6:7" ht="12.75">
      <c r="F326" s="8"/>
      <c r="G326" s="8"/>
    </row>
    <row r="327" spans="6:7" ht="12.75">
      <c r="F327" s="8"/>
      <c r="G327" s="8"/>
    </row>
    <row r="328" spans="6:7" ht="12.75">
      <c r="F328" s="8"/>
      <c r="G328" s="8"/>
    </row>
    <row r="329" spans="6:7" ht="12.75">
      <c r="F329" s="8"/>
      <c r="G329" s="8"/>
    </row>
    <row r="330" spans="6:7" ht="12.75">
      <c r="F330" s="8"/>
      <c r="G330" s="8"/>
    </row>
    <row r="331" spans="6:7" ht="12.75">
      <c r="F331" s="8"/>
      <c r="G331" s="8"/>
    </row>
    <row r="332" spans="6:7" ht="12.75">
      <c r="F332" s="8"/>
      <c r="G332" s="8"/>
    </row>
    <row r="333" spans="6:7" ht="12.75">
      <c r="F333" s="8"/>
      <c r="G333" s="8"/>
    </row>
    <row r="334" spans="6:7" ht="12.75">
      <c r="F334" s="8"/>
      <c r="G334" s="8"/>
    </row>
    <row r="335" spans="6:7" ht="12.75">
      <c r="F335" s="8"/>
      <c r="G335" s="8"/>
    </row>
    <row r="336" spans="6:7" ht="12.75">
      <c r="F336" s="8"/>
      <c r="G336" s="8"/>
    </row>
    <row r="337" spans="6:7" ht="12.75">
      <c r="F337" s="8"/>
      <c r="G337" s="8"/>
    </row>
    <row r="338" spans="6:7" ht="12.75">
      <c r="F338" s="8"/>
      <c r="G338" s="8"/>
    </row>
    <row r="339" spans="6:7" ht="12.75">
      <c r="F339" s="8"/>
      <c r="G339" s="8"/>
    </row>
    <row r="340" spans="6:7" ht="12.75">
      <c r="F340" s="8"/>
      <c r="G340" s="8"/>
    </row>
    <row r="341" spans="6:7" ht="12.75">
      <c r="F341" s="8"/>
      <c r="G341" s="8"/>
    </row>
    <row r="342" spans="6:7" ht="12.75">
      <c r="F342" s="8"/>
      <c r="G342" s="8"/>
    </row>
    <row r="343" spans="6:7" ht="12.75">
      <c r="F343" s="8"/>
      <c r="G343" s="8"/>
    </row>
    <row r="344" spans="6:7" ht="12.75">
      <c r="F344" s="8"/>
      <c r="G344" s="8"/>
    </row>
    <row r="345" spans="6:7" ht="12.75">
      <c r="F345" s="8"/>
      <c r="G345" s="8"/>
    </row>
    <row r="346" spans="6:7" ht="12.75">
      <c r="F346" s="8"/>
      <c r="G346" s="8"/>
    </row>
    <row r="347" spans="6:7" ht="12.75">
      <c r="F347" s="8"/>
      <c r="G347" s="8"/>
    </row>
    <row r="348" spans="6:7" ht="12.75">
      <c r="F348" s="8"/>
      <c r="G348" s="8"/>
    </row>
    <row r="349" spans="6:7" ht="12.75">
      <c r="F349" s="8"/>
      <c r="G349" s="8"/>
    </row>
    <row r="350" spans="6:7" ht="12.75">
      <c r="F350" s="8"/>
      <c r="G350" s="8"/>
    </row>
    <row r="351" spans="6:7" ht="12.75">
      <c r="F351" s="8"/>
      <c r="G351" s="8"/>
    </row>
    <row r="352" spans="6:7" ht="12.75">
      <c r="F352" s="8"/>
      <c r="G352" s="8"/>
    </row>
    <row r="353" spans="6:7" ht="12.75">
      <c r="F353" s="8"/>
      <c r="G353" s="8"/>
    </row>
    <row r="354" spans="6:7" ht="12.75">
      <c r="F354" s="8"/>
      <c r="G354" s="8"/>
    </row>
    <row r="355" spans="6:7" ht="12.75">
      <c r="F355" s="8"/>
      <c r="G355" s="8"/>
    </row>
    <row r="356" spans="6:7" ht="12.75">
      <c r="F356" s="8"/>
      <c r="G356" s="8"/>
    </row>
    <row r="357" spans="6:7" ht="12.75">
      <c r="F357" s="8"/>
      <c r="G357" s="8"/>
    </row>
    <row r="358" spans="6:7" ht="12.75">
      <c r="F358" s="8"/>
      <c r="G358" s="8"/>
    </row>
    <row r="359" spans="6:7" ht="12.75">
      <c r="F359" s="8"/>
      <c r="G359" s="8"/>
    </row>
    <row r="360" spans="6:7" ht="12.75">
      <c r="F360" s="8"/>
      <c r="G360" s="8"/>
    </row>
    <row r="361" spans="6:7" ht="12.75">
      <c r="F361" s="8"/>
      <c r="G361" s="8"/>
    </row>
    <row r="362" spans="6:7" ht="12.75">
      <c r="F362" s="8"/>
      <c r="G362" s="8"/>
    </row>
    <row r="363" spans="6:7" ht="12.75">
      <c r="F363" s="8"/>
      <c r="G363" s="8"/>
    </row>
    <row r="364" spans="6:7" ht="12.75">
      <c r="F364" s="8"/>
      <c r="G364" s="8"/>
    </row>
    <row r="365" spans="6:7" ht="12.75">
      <c r="F365" s="8"/>
      <c r="G365" s="8"/>
    </row>
    <row r="366" spans="6:7" ht="12.75">
      <c r="F366" s="8"/>
      <c r="G366" s="8"/>
    </row>
    <row r="367" spans="6:7" ht="12.75">
      <c r="F367" s="8"/>
      <c r="G367" s="8"/>
    </row>
    <row r="368" spans="6:7" ht="12.75">
      <c r="F368" s="8"/>
      <c r="G368" s="8"/>
    </row>
    <row r="369" spans="6:7" ht="12.75">
      <c r="F369" s="8"/>
      <c r="G369" s="8"/>
    </row>
    <row r="370" spans="6:7" ht="12.75">
      <c r="F370" s="8"/>
      <c r="G370" s="8"/>
    </row>
    <row r="371" spans="6:7" ht="12.75">
      <c r="F371" s="8"/>
      <c r="G371" s="8"/>
    </row>
    <row r="372" spans="6:7" ht="12.75">
      <c r="F372" s="8"/>
      <c r="G372" s="8"/>
    </row>
    <row r="373" spans="6:7" ht="12.75">
      <c r="F373" s="8"/>
      <c r="G373" s="8"/>
    </row>
    <row r="374" spans="6:7" ht="12.75">
      <c r="F374" s="8"/>
      <c r="G374" s="8"/>
    </row>
    <row r="375" spans="6:7" ht="12.75">
      <c r="F375" s="8"/>
      <c r="G375" s="8"/>
    </row>
    <row r="376" spans="6:7" ht="12.75">
      <c r="F376" s="8"/>
      <c r="G376" s="8"/>
    </row>
    <row r="377" spans="6:7" ht="12.75">
      <c r="F377" s="8"/>
      <c r="G377" s="8"/>
    </row>
    <row r="378" spans="6:7" ht="12.75">
      <c r="F378" s="8"/>
      <c r="G378" s="8"/>
    </row>
    <row r="379" spans="6:7" ht="12.75">
      <c r="F379" s="8"/>
      <c r="G379" s="8"/>
    </row>
    <row r="380" spans="6:7" ht="12.75">
      <c r="F380" s="8"/>
      <c r="G380" s="8"/>
    </row>
    <row r="381" spans="6:7" ht="12.75">
      <c r="F381" s="8"/>
      <c r="G381" s="8"/>
    </row>
    <row r="382" spans="6:7" ht="12.75">
      <c r="F382" s="8"/>
      <c r="G382" s="8"/>
    </row>
    <row r="383" spans="6:7" ht="12.75">
      <c r="F383" s="8"/>
      <c r="G383" s="8"/>
    </row>
    <row r="384" spans="6:7" ht="12.75">
      <c r="F384" s="8"/>
      <c r="G384" s="8"/>
    </row>
    <row r="385" spans="6:7" ht="12.75">
      <c r="F385" s="8"/>
      <c r="G385" s="8"/>
    </row>
    <row r="386" spans="6:7" ht="12.75">
      <c r="F386" s="8"/>
      <c r="G386" s="8"/>
    </row>
    <row r="387" spans="6:7" ht="12.75">
      <c r="F387" s="8"/>
      <c r="G387" s="8"/>
    </row>
    <row r="388" spans="6:7" ht="12.75">
      <c r="F388" s="8"/>
      <c r="G388" s="8"/>
    </row>
    <row r="389" spans="6:7" ht="12.75">
      <c r="F389" s="8"/>
      <c r="G389" s="8"/>
    </row>
    <row r="390" spans="6:7" ht="12.75">
      <c r="F390" s="8"/>
      <c r="G390" s="8"/>
    </row>
    <row r="391" spans="6:7" ht="12.75">
      <c r="F391" s="8"/>
      <c r="G391" s="8"/>
    </row>
    <row r="392" spans="6:7" ht="12.75">
      <c r="F392" s="8"/>
      <c r="G392" s="8"/>
    </row>
    <row r="393" spans="6:7" ht="12.75">
      <c r="F393" s="8"/>
      <c r="G393" s="8"/>
    </row>
    <row r="394" spans="6:7" ht="12.75">
      <c r="F394" s="8"/>
      <c r="G394" s="8"/>
    </row>
    <row r="395" spans="6:7" ht="12.75">
      <c r="F395" s="8"/>
      <c r="G395" s="8"/>
    </row>
    <row r="396" spans="6:7" ht="12.75">
      <c r="F396" s="8"/>
      <c r="G396" s="8"/>
    </row>
    <row r="397" spans="6:7" ht="12.75">
      <c r="F397" s="8"/>
      <c r="G397" s="8"/>
    </row>
    <row r="398" spans="6:7" ht="12.75">
      <c r="F398" s="8"/>
      <c r="G398" s="8"/>
    </row>
    <row r="399" spans="6:7" ht="12.75">
      <c r="F399" s="8"/>
      <c r="G399" s="8"/>
    </row>
    <row r="400" spans="6:7" ht="12.75">
      <c r="F400" s="8"/>
      <c r="G400" s="8"/>
    </row>
    <row r="401" spans="6:7" ht="12.75">
      <c r="F401" s="8"/>
      <c r="G401" s="8"/>
    </row>
    <row r="402" spans="6:7" ht="12.75">
      <c r="F402" s="8"/>
      <c r="G402" s="8"/>
    </row>
    <row r="403" spans="6:7" ht="12.75">
      <c r="F403" s="8"/>
      <c r="G403" s="8"/>
    </row>
    <row r="404" spans="6:7" ht="12.75">
      <c r="F404" s="8"/>
      <c r="G404" s="8"/>
    </row>
    <row r="405" spans="6:7" ht="12.75">
      <c r="F405" s="8"/>
      <c r="G405" s="8"/>
    </row>
    <row r="406" spans="6:7" ht="12.75">
      <c r="F406" s="8"/>
      <c r="G406" s="8"/>
    </row>
    <row r="407" spans="6:7" ht="12.75">
      <c r="F407" s="8"/>
      <c r="G407" s="8"/>
    </row>
    <row r="408" spans="6:7" ht="12.75">
      <c r="F408" s="8"/>
      <c r="G408" s="8"/>
    </row>
    <row r="409" spans="6:7" ht="12.75">
      <c r="F409" s="8"/>
      <c r="G409" s="8"/>
    </row>
    <row r="410" spans="6:7" ht="12.75">
      <c r="F410" s="8"/>
      <c r="G410" s="8"/>
    </row>
    <row r="411" spans="6:7" ht="12.75">
      <c r="F411" s="8"/>
      <c r="G411" s="8"/>
    </row>
    <row r="412" spans="6:7" ht="12.75">
      <c r="F412" s="8"/>
      <c r="G412" s="8"/>
    </row>
    <row r="413" spans="6:7" ht="12.75">
      <c r="F413" s="8"/>
      <c r="G413" s="8"/>
    </row>
    <row r="414" spans="6:7" ht="12.75">
      <c r="F414" s="8"/>
      <c r="G414" s="8"/>
    </row>
    <row r="415" spans="6:7" ht="12.75">
      <c r="F415" s="8"/>
      <c r="G415" s="8"/>
    </row>
    <row r="416" spans="6:7" ht="12.75">
      <c r="F416" s="8"/>
      <c r="G416" s="8"/>
    </row>
    <row r="417" spans="6:7" ht="12.75">
      <c r="F417" s="8"/>
      <c r="G417" s="8"/>
    </row>
    <row r="418" spans="6:7" ht="12.75">
      <c r="F418" s="8"/>
      <c r="G418" s="8"/>
    </row>
    <row r="419" spans="6:7" ht="12.75">
      <c r="F419" s="8"/>
      <c r="G419" s="8"/>
    </row>
    <row r="420" spans="6:7" ht="12.75">
      <c r="F420" s="8"/>
      <c r="G420" s="8"/>
    </row>
    <row r="421" spans="6:7" ht="12.75">
      <c r="F421" s="8"/>
      <c r="G421" s="8"/>
    </row>
    <row r="422" spans="6:7" ht="12.75">
      <c r="F422" s="8"/>
      <c r="G422" s="8"/>
    </row>
    <row r="423" spans="6:7" ht="12.75">
      <c r="F423" s="8"/>
      <c r="G423" s="8"/>
    </row>
    <row r="424" spans="6:7" ht="12.75">
      <c r="F424" s="8"/>
      <c r="G424" s="8"/>
    </row>
    <row r="425" spans="6:7" ht="12.75">
      <c r="F425" s="8"/>
      <c r="G425" s="8"/>
    </row>
    <row r="426" spans="6:7" ht="12.75">
      <c r="F426" s="8"/>
      <c r="G426" s="8"/>
    </row>
    <row r="427" spans="6:7" ht="12.75">
      <c r="F427" s="8"/>
      <c r="G427" s="8"/>
    </row>
    <row r="428" spans="6:7" ht="12.75">
      <c r="F428" s="8"/>
      <c r="G428" s="8"/>
    </row>
    <row r="429" spans="6:7" ht="12.75">
      <c r="F429" s="8"/>
      <c r="G429" s="8"/>
    </row>
    <row r="430" spans="6:7" ht="12.75">
      <c r="F430" s="8"/>
      <c r="G430" s="8"/>
    </row>
    <row r="431" spans="6:7" ht="12.75">
      <c r="F431" s="8"/>
      <c r="G431" s="8"/>
    </row>
    <row r="432" spans="6:7" ht="12.75">
      <c r="F432" s="8"/>
      <c r="G432" s="8"/>
    </row>
    <row r="433" spans="6:7" ht="12.75">
      <c r="F433" s="8"/>
      <c r="G433" s="8"/>
    </row>
    <row r="434" spans="6:7" ht="12.75">
      <c r="F434" s="8"/>
      <c r="G434" s="8"/>
    </row>
    <row r="435" spans="6:7" ht="12.75">
      <c r="F435" s="8"/>
      <c r="G435" s="8"/>
    </row>
    <row r="436" spans="6:7" ht="12.75">
      <c r="F436" s="8"/>
      <c r="G436" s="8"/>
    </row>
    <row r="437" spans="6:7" ht="12.75">
      <c r="F437" s="8"/>
      <c r="G437" s="8"/>
    </row>
    <row r="438" spans="6:7" ht="12.75">
      <c r="F438" s="8"/>
      <c r="G438" s="8"/>
    </row>
    <row r="439" spans="6:7" ht="12.75">
      <c r="F439" s="8"/>
      <c r="G439" s="8"/>
    </row>
  </sheetData>
  <sheetProtection/>
  <mergeCells count="22">
    <mergeCell ref="A64:D64"/>
    <mergeCell ref="A54:D54"/>
    <mergeCell ref="A56:E56"/>
    <mergeCell ref="A58:D58"/>
    <mergeCell ref="A60:E60"/>
    <mergeCell ref="A62:D62"/>
    <mergeCell ref="G9:M9"/>
    <mergeCell ref="A50:D50"/>
    <mergeCell ref="A48:E48"/>
    <mergeCell ref="A15:E15"/>
    <mergeCell ref="A46:E46"/>
    <mergeCell ref="A18:D18"/>
    <mergeCell ref="A43:D43"/>
    <mergeCell ref="A41:D41"/>
    <mergeCell ref="A21:E21"/>
    <mergeCell ref="A22:E22"/>
    <mergeCell ref="A23:E23"/>
    <mergeCell ref="A32:E32"/>
    <mergeCell ref="A4:E4"/>
    <mergeCell ref="A5:E5"/>
    <mergeCell ref="A6:E6"/>
    <mergeCell ref="A12:D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  <rowBreaks count="1" manualBreakCount="1">
    <brk id="43" max="4" man="1"/>
  </rowBreaks>
  <colBreaks count="1" manualBreakCount="1">
    <brk id="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J37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27" customHeight="1"/>
  <cols>
    <col min="1" max="1" width="13.8515625" style="91" customWidth="1"/>
    <col min="2" max="2" width="50.8515625" style="91" customWidth="1"/>
    <col min="3" max="3" width="12.8515625" style="91" customWidth="1"/>
    <col min="4" max="4" width="12.7109375" style="98" customWidth="1"/>
    <col min="5" max="5" width="13.00390625" style="98" customWidth="1"/>
    <col min="6" max="16384" width="9.140625" style="91" customWidth="1"/>
  </cols>
  <sheetData>
    <row r="1" ht="27" customHeight="1">
      <c r="B1" s="94" t="s">
        <v>130</v>
      </c>
    </row>
    <row r="2" spans="1:4" ht="32.25" customHeight="1">
      <c r="A2" s="1276" t="s">
        <v>378</v>
      </c>
      <c r="B2" s="1276"/>
      <c r="C2" s="1276"/>
      <c r="D2" s="536"/>
    </row>
    <row r="3" ht="27" customHeight="1">
      <c r="E3" s="537" t="s">
        <v>159</v>
      </c>
    </row>
    <row r="4" spans="1:5" ht="15">
      <c r="A4" s="302">
        <v>511111</v>
      </c>
      <c r="B4" s="302" t="s">
        <v>30</v>
      </c>
      <c r="C4" s="532"/>
      <c r="D4" s="532">
        <f>+ROUND(C4,-3)/1000</f>
        <v>0</v>
      </c>
      <c r="E4" s="532">
        <f>+D4</f>
        <v>0</v>
      </c>
    </row>
    <row r="5" spans="1:5" s="30" customFormat="1" ht="15.75">
      <c r="A5" s="302">
        <v>511121</v>
      </c>
      <c r="B5" s="302" t="s">
        <v>1209</v>
      </c>
      <c r="C5" s="532"/>
      <c r="D5" s="532"/>
      <c r="E5" s="532"/>
    </row>
    <row r="6" spans="1:5" ht="15">
      <c r="A6" s="302">
        <v>511141</v>
      </c>
      <c r="B6" s="302" t="s">
        <v>33</v>
      </c>
      <c r="C6" s="532"/>
      <c r="D6" s="532"/>
      <c r="E6" s="532"/>
    </row>
    <row r="7" spans="1:5" ht="15">
      <c r="A7" s="302">
        <v>512191</v>
      </c>
      <c r="B7" s="302" t="s">
        <v>1210</v>
      </c>
      <c r="C7" s="532">
        <v>0</v>
      </c>
      <c r="D7" s="532">
        <f>+ROUND(C7,-3)/1000</f>
        <v>0</v>
      </c>
      <c r="E7" s="532">
        <f>+D7</f>
        <v>0</v>
      </c>
    </row>
    <row r="8" spans="1:5" ht="15">
      <c r="A8" s="302">
        <v>51311</v>
      </c>
      <c r="B8" s="302" t="s">
        <v>1014</v>
      </c>
      <c r="C8" s="532">
        <v>0</v>
      </c>
      <c r="D8" s="532">
        <f>+ROUND(C8,-3)/1000</f>
        <v>0</v>
      </c>
      <c r="E8" s="532">
        <f>+D8</f>
        <v>0</v>
      </c>
    </row>
    <row r="9" spans="1:5" ht="15">
      <c r="A9" s="302">
        <v>513121</v>
      </c>
      <c r="B9" s="302" t="s">
        <v>1013</v>
      </c>
      <c r="C9" s="532"/>
      <c r="D9" s="532"/>
      <c r="E9" s="532"/>
    </row>
    <row r="10" spans="1:5" ht="15">
      <c r="A10" s="302">
        <v>513131</v>
      </c>
      <c r="B10" s="302" t="s">
        <v>1075</v>
      </c>
      <c r="C10" s="532"/>
      <c r="D10" s="532"/>
      <c r="E10" s="532"/>
    </row>
    <row r="11" spans="1:5" ht="15">
      <c r="A11" s="302">
        <v>5131912</v>
      </c>
      <c r="B11" s="302" t="s">
        <v>453</v>
      </c>
      <c r="C11" s="532"/>
      <c r="D11" s="532"/>
      <c r="E11" s="532"/>
    </row>
    <row r="12" spans="1:10" ht="15">
      <c r="A12" s="302">
        <v>514111</v>
      </c>
      <c r="B12" s="302" t="s">
        <v>38</v>
      </c>
      <c r="C12" s="532"/>
      <c r="D12" s="532"/>
      <c r="E12" s="532"/>
      <c r="J12" s="91" t="s">
        <v>796</v>
      </c>
    </row>
    <row r="13" spans="1:5" ht="15">
      <c r="A13" s="302">
        <v>514121</v>
      </c>
      <c r="B13" s="302" t="s">
        <v>1208</v>
      </c>
      <c r="C13" s="532"/>
      <c r="D13" s="532"/>
      <c r="E13" s="532"/>
    </row>
    <row r="14" spans="1:5" ht="15">
      <c r="A14" s="302">
        <v>514131</v>
      </c>
      <c r="B14" s="302" t="s">
        <v>1076</v>
      </c>
      <c r="C14" s="532"/>
      <c r="D14" s="532"/>
      <c r="E14" s="532"/>
    </row>
    <row r="15" spans="1:5" ht="15">
      <c r="A15" s="302">
        <v>5141</v>
      </c>
      <c r="B15" s="302" t="s">
        <v>1310</v>
      </c>
      <c r="C15" s="532"/>
      <c r="D15" s="532"/>
      <c r="E15" s="532"/>
    </row>
    <row r="16" spans="1:5" ht="15">
      <c r="A16" s="302">
        <v>514191</v>
      </c>
      <c r="B16" s="302" t="s">
        <v>454</v>
      </c>
      <c r="C16" s="532">
        <v>0</v>
      </c>
      <c r="D16" s="532">
        <f>+ROUND(C16,-3)/1000</f>
        <v>0</v>
      </c>
      <c r="E16" s="532">
        <f>+D16</f>
        <v>0</v>
      </c>
    </row>
    <row r="17" spans="1:5" s="90" customFormat="1" ht="15.75">
      <c r="A17" s="533" t="s">
        <v>1498</v>
      </c>
      <c r="B17" s="534" t="s">
        <v>1077</v>
      </c>
      <c r="C17" s="535">
        <f>SUM(C4:C16)</f>
        <v>0</v>
      </c>
      <c r="D17" s="535"/>
      <c r="E17" s="535">
        <f>SUM(E4:E16)</f>
        <v>0</v>
      </c>
    </row>
    <row r="18" spans="1:5" ht="15.75">
      <c r="A18" s="302">
        <v>53111</v>
      </c>
      <c r="B18" s="302" t="s">
        <v>144</v>
      </c>
      <c r="C18" s="93">
        <f>(C4+C6+C10)*0.24</f>
        <v>0</v>
      </c>
      <c r="D18" s="93"/>
      <c r="E18" s="93"/>
    </row>
    <row r="19" spans="1:5" ht="15.75" customHeight="1">
      <c r="A19" s="539">
        <v>53112</v>
      </c>
      <c r="B19" s="539" t="s">
        <v>1212</v>
      </c>
      <c r="C19" s="532">
        <f>(C4+C6+C10)*0.03</f>
        <v>0</v>
      </c>
      <c r="D19" s="532">
        <f>+ROUND(C19,-3)/1000</f>
        <v>0</v>
      </c>
      <c r="E19" s="532">
        <f>+D19</f>
        <v>0</v>
      </c>
    </row>
    <row r="20" spans="1:5" s="90" customFormat="1" ht="15.75" customHeight="1">
      <c r="A20" s="538">
        <v>53</v>
      </c>
      <c r="B20" s="534" t="s">
        <v>1386</v>
      </c>
      <c r="C20" s="535">
        <f>SUM(C18:C19)</f>
        <v>0</v>
      </c>
      <c r="D20" s="535"/>
      <c r="E20" s="535">
        <f>SUM(E18:E19)</f>
        <v>0</v>
      </c>
    </row>
    <row r="21" spans="1:5" ht="15.75" customHeight="1">
      <c r="A21" s="92"/>
      <c r="B21" s="92"/>
      <c r="C21" s="93"/>
      <c r="D21" s="93"/>
      <c r="E21" s="93"/>
    </row>
    <row r="22" spans="1:5" ht="15.75" customHeight="1">
      <c r="A22" s="302">
        <v>5431</v>
      </c>
      <c r="B22" s="302" t="s">
        <v>1078</v>
      </c>
      <c r="C22" s="532"/>
      <c r="D22" s="532"/>
      <c r="E22" s="532"/>
    </row>
    <row r="23" spans="1:5" ht="15.75" customHeight="1">
      <c r="A23" s="302">
        <v>54411</v>
      </c>
      <c r="B23" s="302" t="s">
        <v>1079</v>
      </c>
      <c r="C23" s="532"/>
      <c r="D23" s="532"/>
      <c r="E23" s="532"/>
    </row>
    <row r="24" spans="1:5" ht="15.75" customHeight="1">
      <c r="A24" s="302">
        <v>54412</v>
      </c>
      <c r="B24" s="302" t="s">
        <v>455</v>
      </c>
      <c r="C24" s="532"/>
      <c r="D24" s="532"/>
      <c r="E24" s="532"/>
    </row>
    <row r="25" spans="1:5" ht="15.75" customHeight="1">
      <c r="A25" s="302">
        <v>54712</v>
      </c>
      <c r="B25" s="302" t="s">
        <v>1080</v>
      </c>
      <c r="C25" s="532"/>
      <c r="D25" s="532"/>
      <c r="E25" s="532"/>
    </row>
    <row r="26" spans="1:5" ht="15.75" customHeight="1">
      <c r="A26" s="302">
        <v>5491</v>
      </c>
      <c r="B26" s="302" t="s">
        <v>1311</v>
      </c>
      <c r="C26" s="532"/>
      <c r="D26" s="532"/>
      <c r="E26" s="532"/>
    </row>
    <row r="27" spans="1:5" ht="15.75" customHeight="1">
      <c r="A27" s="302">
        <v>55111</v>
      </c>
      <c r="B27" s="302" t="s">
        <v>1081</v>
      </c>
      <c r="C27" s="532"/>
      <c r="D27" s="532"/>
      <c r="E27" s="532"/>
    </row>
    <row r="28" spans="1:5" ht="15.75" customHeight="1">
      <c r="A28" s="302">
        <v>55213</v>
      </c>
      <c r="B28" s="302" t="s">
        <v>1449</v>
      </c>
      <c r="C28" s="532"/>
      <c r="D28" s="532"/>
      <c r="E28" s="532"/>
    </row>
    <row r="29" spans="1:5" ht="15.75" customHeight="1">
      <c r="A29" s="302">
        <v>55219</v>
      </c>
      <c r="B29" s="302" t="s">
        <v>1082</v>
      </c>
      <c r="C29" s="532"/>
      <c r="D29" s="532"/>
      <c r="E29" s="532"/>
    </row>
    <row r="30" spans="1:5" ht="15.75" customHeight="1">
      <c r="A30" s="302">
        <v>56111</v>
      </c>
      <c r="B30" s="302" t="s">
        <v>1083</v>
      </c>
      <c r="C30" s="532"/>
      <c r="D30" s="532"/>
      <c r="E30" s="532"/>
    </row>
    <row r="31" spans="1:5" ht="15.75" customHeight="1">
      <c r="A31" s="302">
        <v>56211</v>
      </c>
      <c r="B31" s="302" t="s">
        <v>1006</v>
      </c>
      <c r="C31" s="532"/>
      <c r="D31" s="532"/>
      <c r="E31" s="532"/>
    </row>
    <row r="32" spans="1:5" ht="15.75" customHeight="1">
      <c r="A32" s="302">
        <v>56213</v>
      </c>
      <c r="B32" s="302" t="s">
        <v>1007</v>
      </c>
      <c r="C32" s="532"/>
      <c r="D32" s="532"/>
      <c r="E32" s="532"/>
    </row>
    <row r="33" spans="1:5" ht="15.75" customHeight="1">
      <c r="A33" s="302">
        <v>57211</v>
      </c>
      <c r="B33" s="302" t="s">
        <v>1213</v>
      </c>
      <c r="C33" s="532"/>
      <c r="D33" s="532"/>
      <c r="E33" s="532"/>
    </row>
    <row r="34" spans="1:5" ht="15.75" customHeight="1">
      <c r="A34" s="302">
        <v>57213</v>
      </c>
      <c r="B34" s="302" t="s">
        <v>798</v>
      </c>
      <c r="C34" s="532"/>
      <c r="D34" s="532"/>
      <c r="E34" s="532"/>
    </row>
    <row r="35" spans="1:5" s="90" customFormat="1" ht="15.75" customHeight="1">
      <c r="A35" s="92"/>
      <c r="B35" s="92" t="s">
        <v>1084</v>
      </c>
      <c r="C35" s="93">
        <f>SUM(C22:C34)</f>
        <v>0</v>
      </c>
      <c r="D35" s="93"/>
      <c r="E35" s="93">
        <f>SUM(E22:E34)</f>
        <v>0</v>
      </c>
    </row>
    <row r="36" spans="1:5" s="90" customFormat="1" ht="15.75" customHeight="1">
      <c r="A36" s="92"/>
      <c r="B36" s="92"/>
      <c r="C36" s="92"/>
      <c r="D36" s="93"/>
      <c r="E36" s="93"/>
    </row>
    <row r="37" spans="1:5" s="90" customFormat="1" ht="15.75" customHeight="1">
      <c r="A37" s="92"/>
      <c r="B37" s="92" t="s">
        <v>1085</v>
      </c>
      <c r="C37" s="93">
        <f>C17+C20+C35</f>
        <v>0</v>
      </c>
      <c r="D37" s="93"/>
      <c r="E37" s="93">
        <f>E17+E20+E35</f>
        <v>0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2:AB1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3" sqref="A13"/>
    </sheetView>
  </sheetViews>
  <sheetFormatPr defaultColWidth="9.140625" defaultRowHeight="12.75"/>
  <cols>
    <col min="1" max="1" width="3.28125" style="0" customWidth="1"/>
    <col min="2" max="2" width="38.140625" style="0" bestFit="1" customWidth="1"/>
    <col min="3" max="3" width="11.57421875" style="0" bestFit="1" customWidth="1"/>
    <col min="4" max="4" width="12.28125" style="0" bestFit="1" customWidth="1"/>
    <col min="7" max="7" width="9.7109375" style="0" bestFit="1" customWidth="1"/>
    <col min="8" max="8" width="10.7109375" style="0" bestFit="1" customWidth="1"/>
    <col min="17" max="17" width="13.7109375" style="0" bestFit="1" customWidth="1"/>
    <col min="19" max="19" width="11.421875" style="0" bestFit="1" customWidth="1"/>
    <col min="20" max="20" width="10.28125" style="0" bestFit="1" customWidth="1"/>
    <col min="21" max="21" width="19.7109375" style="0" bestFit="1" customWidth="1"/>
    <col min="23" max="23" width="9.00390625" style="0" bestFit="1" customWidth="1"/>
    <col min="24" max="24" width="13.140625" style="0" bestFit="1" customWidth="1"/>
    <col min="25" max="25" width="10.140625" style="0" bestFit="1" customWidth="1"/>
    <col min="27" max="27" width="16.00390625" style="0" bestFit="1" customWidth="1"/>
  </cols>
  <sheetData>
    <row r="2" spans="1:28" ht="15">
      <c r="A2" s="782" t="s">
        <v>818</v>
      </c>
      <c r="B2" s="543" t="s">
        <v>79</v>
      </c>
      <c r="C2" s="596"/>
      <c r="D2" s="597" t="s">
        <v>34</v>
      </c>
      <c r="E2" s="529" t="s">
        <v>959</v>
      </c>
      <c r="F2" s="598" t="s">
        <v>960</v>
      </c>
      <c r="G2" s="598" t="s">
        <v>961</v>
      </c>
      <c r="H2" s="598" t="s">
        <v>962</v>
      </c>
      <c r="I2" s="598" t="s">
        <v>963</v>
      </c>
      <c r="J2" s="598" t="s">
        <v>964</v>
      </c>
      <c r="K2" s="598" t="s">
        <v>965</v>
      </c>
      <c r="L2" s="598" t="s">
        <v>966</v>
      </c>
      <c r="M2" s="598" t="s">
        <v>1088</v>
      </c>
      <c r="N2" s="598" t="s">
        <v>1089</v>
      </c>
      <c r="O2" s="598" t="s">
        <v>1090</v>
      </c>
      <c r="P2" s="598" t="s">
        <v>1091</v>
      </c>
      <c r="Q2" s="529" t="s">
        <v>121</v>
      </c>
      <c r="R2" s="598" t="s">
        <v>152</v>
      </c>
      <c r="S2" s="598" t="s">
        <v>1012</v>
      </c>
      <c r="T2" s="598" t="s">
        <v>125</v>
      </c>
      <c r="U2" s="598" t="s">
        <v>153</v>
      </c>
      <c r="V2" s="598" t="s">
        <v>102</v>
      </c>
      <c r="W2" s="598" t="s">
        <v>456</v>
      </c>
      <c r="X2" s="598" t="s">
        <v>122</v>
      </c>
      <c r="Y2" s="662"/>
      <c r="Z2" s="551" t="s">
        <v>256</v>
      </c>
      <c r="AA2" s="551" t="s">
        <v>101</v>
      </c>
      <c r="AB2" s="267"/>
    </row>
    <row r="3" spans="1:28" ht="15">
      <c r="A3" s="782" t="s">
        <v>781</v>
      </c>
      <c r="B3" s="269" t="s">
        <v>1520</v>
      </c>
      <c r="C3" s="941"/>
      <c r="D3" s="784" t="s">
        <v>1526</v>
      </c>
      <c r="E3" s="528">
        <v>350000</v>
      </c>
      <c r="F3" s="528">
        <v>350000</v>
      </c>
      <c r="G3" s="528">
        <v>350000</v>
      </c>
      <c r="H3" s="528">
        <v>350000</v>
      </c>
      <c r="I3" s="528">
        <v>350000</v>
      </c>
      <c r="J3" s="528">
        <v>350000</v>
      </c>
      <c r="K3" s="528">
        <v>350000</v>
      </c>
      <c r="L3" s="528">
        <v>350000</v>
      </c>
      <c r="M3" s="528">
        <v>350000</v>
      </c>
      <c r="N3" s="528">
        <v>350000</v>
      </c>
      <c r="O3" s="528">
        <v>350000</v>
      </c>
      <c r="P3" s="528">
        <v>350000</v>
      </c>
      <c r="Q3" s="530">
        <f aca="true" t="shared" si="0" ref="Q3:Q8">SUBTOTAL(9,E3:P3)</f>
        <v>4200000</v>
      </c>
      <c r="R3" s="598"/>
      <c r="S3" s="598"/>
      <c r="T3" s="598"/>
      <c r="U3" s="598"/>
      <c r="V3" s="598"/>
      <c r="W3" s="598"/>
      <c r="X3" s="953"/>
      <c r="Y3" s="957">
        <f aca="true" t="shared" si="1" ref="Y3:Y8">Q3+R3+S3+U3+V3+W3+X3</f>
        <v>4200000</v>
      </c>
      <c r="Z3" s="551"/>
      <c r="AA3" s="551"/>
      <c r="AB3" s="267"/>
    </row>
    <row r="4" spans="1:28" ht="15">
      <c r="A4" s="782" t="s">
        <v>782</v>
      </c>
      <c r="B4" s="525" t="s">
        <v>126</v>
      </c>
      <c r="C4" s="941"/>
      <c r="D4" s="954"/>
      <c r="E4" s="955">
        <v>114000</v>
      </c>
      <c r="F4" s="955">
        <v>114000</v>
      </c>
      <c r="G4" s="955">
        <v>114000</v>
      </c>
      <c r="H4" s="955">
        <v>114000</v>
      </c>
      <c r="I4" s="955">
        <v>114000</v>
      </c>
      <c r="J4" s="955">
        <v>114000</v>
      </c>
      <c r="K4" s="955">
        <v>114000</v>
      </c>
      <c r="L4" s="955">
        <v>114000</v>
      </c>
      <c r="M4" s="955">
        <v>114000</v>
      </c>
      <c r="N4" s="955">
        <v>114000</v>
      </c>
      <c r="O4" s="955">
        <v>114000</v>
      </c>
      <c r="P4" s="955">
        <v>114000</v>
      </c>
      <c r="Q4" s="530">
        <f t="shared" si="0"/>
        <v>1368000</v>
      </c>
      <c r="R4" s="598"/>
      <c r="S4" s="598"/>
      <c r="T4" s="598"/>
      <c r="U4" s="598"/>
      <c r="V4" s="598"/>
      <c r="W4" s="598"/>
      <c r="X4" s="953"/>
      <c r="Y4" s="957">
        <f t="shared" si="1"/>
        <v>1368000</v>
      </c>
      <c r="Z4" s="551"/>
      <c r="AA4" s="551"/>
      <c r="AB4" s="267"/>
    </row>
    <row r="5" spans="1:28" ht="15">
      <c r="A5" s="782" t="s">
        <v>783</v>
      </c>
      <c r="B5" s="605" t="s">
        <v>1521</v>
      </c>
      <c r="C5" s="941"/>
      <c r="D5" s="954" t="s">
        <v>1525</v>
      </c>
      <c r="E5" s="528">
        <v>153300</v>
      </c>
      <c r="F5" s="528">
        <v>153300</v>
      </c>
      <c r="G5" s="528">
        <v>153300</v>
      </c>
      <c r="H5" s="528">
        <v>153300</v>
      </c>
      <c r="I5" s="528">
        <v>153300</v>
      </c>
      <c r="J5" s="528">
        <v>153300</v>
      </c>
      <c r="K5" s="528">
        <v>153300</v>
      </c>
      <c r="L5" s="528">
        <v>153300</v>
      </c>
      <c r="M5" s="528">
        <v>153300</v>
      </c>
      <c r="N5" s="528">
        <v>153300</v>
      </c>
      <c r="O5" s="528">
        <v>153300</v>
      </c>
      <c r="P5" s="528">
        <v>153300</v>
      </c>
      <c r="Q5" s="530">
        <f t="shared" si="0"/>
        <v>1839600</v>
      </c>
      <c r="R5" s="598"/>
      <c r="S5" s="598"/>
      <c r="T5" s="598"/>
      <c r="U5" s="529">
        <v>15000</v>
      </c>
      <c r="V5" s="598"/>
      <c r="W5" s="598"/>
      <c r="X5" s="953"/>
      <c r="Y5" s="957">
        <f t="shared" si="1"/>
        <v>1854600</v>
      </c>
      <c r="Z5" s="551"/>
      <c r="AA5" s="551"/>
      <c r="AB5" s="267"/>
    </row>
    <row r="6" spans="1:28" ht="15">
      <c r="A6" s="782" t="s">
        <v>1065</v>
      </c>
      <c r="B6" s="269" t="s">
        <v>1522</v>
      </c>
      <c r="C6" s="419"/>
      <c r="D6" s="977" t="s">
        <v>1527</v>
      </c>
      <c r="E6" s="528">
        <v>200100</v>
      </c>
      <c r="F6" s="528">
        <v>200100</v>
      </c>
      <c r="G6" s="528">
        <v>200100</v>
      </c>
      <c r="H6" s="528">
        <v>200100</v>
      </c>
      <c r="I6" s="528">
        <v>200100</v>
      </c>
      <c r="J6" s="528">
        <v>200100</v>
      </c>
      <c r="K6" s="528">
        <v>200100</v>
      </c>
      <c r="L6" s="528">
        <v>200100</v>
      </c>
      <c r="M6" s="528">
        <v>200100</v>
      </c>
      <c r="N6" s="528">
        <v>200100</v>
      </c>
      <c r="O6" s="528">
        <v>200100</v>
      </c>
      <c r="P6" s="528">
        <v>200100</v>
      </c>
      <c r="Q6" s="530">
        <f t="shared" si="0"/>
        <v>2401200</v>
      </c>
      <c r="R6" s="528"/>
      <c r="S6" s="528"/>
      <c r="T6" s="528"/>
      <c r="U6" s="528">
        <v>15000</v>
      </c>
      <c r="V6" s="528"/>
      <c r="W6" s="528"/>
      <c r="X6" s="661"/>
      <c r="Y6" s="957">
        <f t="shared" si="1"/>
        <v>2416200</v>
      </c>
      <c r="Z6" s="523"/>
      <c r="AA6" s="778"/>
      <c r="AB6" s="267"/>
    </row>
    <row r="7" spans="1:28" ht="15">
      <c r="A7" s="782" t="s">
        <v>1050</v>
      </c>
      <c r="B7" s="269" t="s">
        <v>1523</v>
      </c>
      <c r="C7" s="787"/>
      <c r="D7" s="954" t="s">
        <v>1525</v>
      </c>
      <c r="E7" s="528">
        <v>153300</v>
      </c>
      <c r="F7" s="528">
        <v>153300</v>
      </c>
      <c r="G7" s="528">
        <v>153300</v>
      </c>
      <c r="H7" s="528">
        <v>153300</v>
      </c>
      <c r="I7" s="528">
        <v>153300</v>
      </c>
      <c r="J7" s="528">
        <v>153300</v>
      </c>
      <c r="K7" s="528">
        <v>153300</v>
      </c>
      <c r="L7" s="528">
        <v>153300</v>
      </c>
      <c r="M7" s="528">
        <v>153300</v>
      </c>
      <c r="N7" s="528">
        <v>153300</v>
      </c>
      <c r="O7" s="528">
        <v>153300</v>
      </c>
      <c r="P7" s="528">
        <v>153300</v>
      </c>
      <c r="Q7" s="530">
        <f t="shared" si="0"/>
        <v>1839600</v>
      </c>
      <c r="R7" s="788"/>
      <c r="S7" s="528"/>
      <c r="T7" s="788"/>
      <c r="U7" s="788">
        <v>15000</v>
      </c>
      <c r="V7" s="788"/>
      <c r="W7" s="788"/>
      <c r="X7" s="791"/>
      <c r="Y7" s="957">
        <f t="shared" si="1"/>
        <v>1854600</v>
      </c>
      <c r="Z7" s="781"/>
      <c r="AA7" s="792"/>
      <c r="AB7" s="793"/>
    </row>
    <row r="8" spans="1:28" ht="15">
      <c r="A8" s="782" t="s">
        <v>1051</v>
      </c>
      <c r="B8" s="269" t="s">
        <v>1524</v>
      </c>
      <c r="C8" s="419"/>
      <c r="D8" s="784" t="s">
        <v>1528</v>
      </c>
      <c r="E8" s="528">
        <v>169100</v>
      </c>
      <c r="F8" s="528">
        <v>169100</v>
      </c>
      <c r="G8" s="528">
        <v>169100</v>
      </c>
      <c r="H8" s="528">
        <v>169100</v>
      </c>
      <c r="I8" s="528">
        <v>169100</v>
      </c>
      <c r="J8" s="528">
        <v>169100</v>
      </c>
      <c r="K8" s="528">
        <v>169100</v>
      </c>
      <c r="L8" s="528">
        <v>169100</v>
      </c>
      <c r="M8" s="528">
        <v>169100</v>
      </c>
      <c r="N8" s="528">
        <v>169100</v>
      </c>
      <c r="O8" s="528">
        <v>169100</v>
      </c>
      <c r="P8" s="528">
        <v>169100</v>
      </c>
      <c r="Q8" s="530">
        <f t="shared" si="0"/>
        <v>2029200</v>
      </c>
      <c r="R8" s="528"/>
      <c r="S8" s="528"/>
      <c r="T8" s="528"/>
      <c r="U8" s="528">
        <v>15000</v>
      </c>
      <c r="V8" s="528"/>
      <c r="W8" s="528"/>
      <c r="X8" s="661"/>
      <c r="Y8" s="957">
        <f t="shared" si="1"/>
        <v>2044200</v>
      </c>
      <c r="Z8" s="781"/>
      <c r="AA8" s="959"/>
      <c r="AB8" s="267"/>
    </row>
    <row r="9" spans="1:28" ht="15">
      <c r="A9" s="782"/>
      <c r="B9" s="978"/>
      <c r="C9" s="979"/>
      <c r="D9" s="980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2">
        <f aca="true" t="shared" si="2" ref="Q9:Y9">SUM(Q3:Q8)</f>
        <v>13677600</v>
      </c>
      <c r="R9" s="982">
        <f t="shared" si="2"/>
        <v>0</v>
      </c>
      <c r="S9" s="982">
        <f t="shared" si="2"/>
        <v>0</v>
      </c>
      <c r="T9" s="982">
        <f t="shared" si="2"/>
        <v>0</v>
      </c>
      <c r="U9" s="982">
        <f t="shared" si="2"/>
        <v>60000</v>
      </c>
      <c r="V9" s="982">
        <f t="shared" si="2"/>
        <v>0</v>
      </c>
      <c r="W9" s="982">
        <f t="shared" si="2"/>
        <v>0</v>
      </c>
      <c r="X9" s="982">
        <f t="shared" si="2"/>
        <v>0</v>
      </c>
      <c r="Y9" s="957">
        <f t="shared" si="2"/>
        <v>13737600</v>
      </c>
      <c r="Z9" s="983"/>
      <c r="AA9" s="984"/>
      <c r="AB9" s="267"/>
    </row>
    <row r="10" spans="1:28" ht="15">
      <c r="A10" s="782"/>
      <c r="B10" s="985"/>
      <c r="C10" s="986"/>
      <c r="D10" s="987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9"/>
      <c r="R10" s="988"/>
      <c r="S10" s="797"/>
      <c r="T10" s="988"/>
      <c r="U10" s="988"/>
      <c r="V10" s="988"/>
      <c r="W10" s="988"/>
      <c r="X10" s="988"/>
      <c r="Y10" s="990"/>
      <c r="Z10" s="991"/>
      <c r="AA10" s="992"/>
      <c r="AB10" s="793"/>
    </row>
    <row r="11" spans="1:28" ht="15">
      <c r="A11" s="782" t="s">
        <v>781</v>
      </c>
      <c r="B11" s="993" t="s">
        <v>478</v>
      </c>
      <c r="C11" s="994"/>
      <c r="D11" s="987"/>
      <c r="E11" s="797">
        <v>50000</v>
      </c>
      <c r="F11" s="797">
        <v>50000</v>
      </c>
      <c r="G11" s="797">
        <v>50000</v>
      </c>
      <c r="H11" s="797">
        <v>50000</v>
      </c>
      <c r="I11" s="797">
        <v>50000</v>
      </c>
      <c r="J11" s="797">
        <v>50000</v>
      </c>
      <c r="K11" s="797">
        <v>50000</v>
      </c>
      <c r="L11" s="797">
        <v>50000</v>
      </c>
      <c r="M11" s="797">
        <v>50000</v>
      </c>
      <c r="N11" s="797">
        <v>50000</v>
      </c>
      <c r="O11" s="797">
        <v>50000</v>
      </c>
      <c r="P11" s="797">
        <v>50000</v>
      </c>
      <c r="Q11" s="989">
        <f>SUM(E11:P11)</f>
        <v>600000</v>
      </c>
      <c r="R11" s="797"/>
      <c r="S11" s="797"/>
      <c r="T11" s="797"/>
      <c r="U11" s="797"/>
      <c r="V11" s="797"/>
      <c r="W11" s="797"/>
      <c r="X11" s="797"/>
      <c r="Y11" s="990"/>
      <c r="Z11" s="991"/>
      <c r="AA11" s="995"/>
      <c r="AB11" s="267"/>
    </row>
    <row r="12" spans="1:28" ht="15">
      <c r="A12" s="782" t="s">
        <v>782</v>
      </c>
      <c r="B12" s="993" t="s">
        <v>1319</v>
      </c>
      <c r="C12" s="994"/>
      <c r="D12" s="987"/>
      <c r="E12" s="797">
        <v>50000</v>
      </c>
      <c r="F12" s="797">
        <v>50000</v>
      </c>
      <c r="G12" s="797">
        <v>50000</v>
      </c>
      <c r="H12" s="797">
        <v>50000</v>
      </c>
      <c r="I12" s="797">
        <v>50000</v>
      </c>
      <c r="J12" s="797">
        <v>50000</v>
      </c>
      <c r="K12" s="797">
        <v>50000</v>
      </c>
      <c r="L12" s="797">
        <v>50000</v>
      </c>
      <c r="M12" s="797">
        <v>50000</v>
      </c>
      <c r="N12" s="797">
        <v>50000</v>
      </c>
      <c r="O12" s="797">
        <v>50000</v>
      </c>
      <c r="P12" s="797">
        <v>50000</v>
      </c>
      <c r="Q12" s="989">
        <f>SUM(E12:P12)</f>
        <v>600000</v>
      </c>
      <c r="R12" s="797"/>
      <c r="S12" s="797"/>
      <c r="T12" s="797"/>
      <c r="U12" s="797"/>
      <c r="V12" s="797"/>
      <c r="W12" s="797"/>
      <c r="X12" s="797"/>
      <c r="Y12" s="990"/>
      <c r="Z12" s="991"/>
      <c r="AA12" s="996"/>
      <c r="AB12" s="793"/>
    </row>
    <row r="13" ht="12.75">
      <c r="B13" s="804" t="s">
        <v>147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1"/>
  <sheetViews>
    <sheetView zoomScalePageLayoutView="0" workbookViewId="0" topLeftCell="A19">
      <selection activeCell="E45" sqref="E45"/>
    </sheetView>
  </sheetViews>
  <sheetFormatPr defaultColWidth="9.140625" defaultRowHeight="12.75"/>
  <cols>
    <col min="1" max="1" width="9.57421875" style="0" bestFit="1" customWidth="1"/>
    <col min="2" max="2" width="63.57421875" style="0" bestFit="1" customWidth="1"/>
    <col min="3" max="3" width="10.28125" style="0" customWidth="1"/>
    <col min="4" max="4" width="8.28125" style="8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107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278" t="s">
        <v>163</v>
      </c>
      <c r="B4" s="1278"/>
      <c r="C4" s="1278"/>
      <c r="D4" s="1278"/>
      <c r="E4" s="1278"/>
    </row>
    <row r="5" spans="1:5" ht="15">
      <c r="A5" s="1279" t="s">
        <v>1499</v>
      </c>
      <c r="B5" s="1279"/>
      <c r="C5" s="1279"/>
      <c r="D5" s="1279"/>
      <c r="E5" s="1279"/>
    </row>
    <row r="6" spans="1:5" ht="15">
      <c r="A6" s="1279" t="s">
        <v>27</v>
      </c>
      <c r="B6" s="1279"/>
      <c r="C6" s="1279"/>
      <c r="D6" s="1279"/>
      <c r="E6" s="1279"/>
    </row>
    <row r="7" spans="1:5" ht="15">
      <c r="A7" s="1280"/>
      <c r="B7" s="1280"/>
      <c r="C7" s="1280"/>
      <c r="D7" s="1280"/>
      <c r="E7" s="1280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1138</v>
      </c>
      <c r="B10" s="14" t="s">
        <v>1037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önk.'!Q3+'Bérek önk.'!Q4</f>
        <v>5568000</v>
      </c>
      <c r="D11" s="35"/>
      <c r="E11" s="35">
        <f>ROUND(C11,-3)/1000</f>
        <v>5568</v>
      </c>
    </row>
    <row r="12" spans="1:5" ht="12.75">
      <c r="A12" s="472"/>
      <c r="B12" s="472" t="s">
        <v>119</v>
      </c>
      <c r="C12" s="63"/>
      <c r="D12" s="63"/>
      <c r="E12" s="63"/>
    </row>
    <row r="13" spans="1:5" ht="12.75">
      <c r="A13" s="472"/>
      <c r="B13" s="472" t="s">
        <v>108</v>
      </c>
      <c r="C13" s="63"/>
      <c r="D13" s="63"/>
      <c r="E13" s="63"/>
    </row>
    <row r="14" spans="1:5" ht="12.75">
      <c r="A14" s="472">
        <v>511122</v>
      </c>
      <c r="B14" s="472" t="s">
        <v>109</v>
      </c>
      <c r="C14" s="35"/>
      <c r="D14" s="35"/>
      <c r="E14" s="926"/>
    </row>
    <row r="15" spans="1:5" ht="12.75">
      <c r="A15" s="472"/>
      <c r="B15" s="472" t="s">
        <v>110</v>
      </c>
      <c r="C15" s="63"/>
      <c r="D15" s="63"/>
      <c r="E15" s="927"/>
    </row>
    <row r="16" spans="1:5" ht="12.75">
      <c r="A16" s="546">
        <v>511</v>
      </c>
      <c r="B16" s="547" t="s">
        <v>1501</v>
      </c>
      <c r="C16" s="35"/>
      <c r="D16" s="35"/>
      <c r="E16" s="926">
        <f>+E14+E11</f>
        <v>5568</v>
      </c>
    </row>
    <row r="17" spans="1:5" ht="12.75">
      <c r="A17" s="546">
        <v>512</v>
      </c>
      <c r="B17" s="501" t="s">
        <v>93</v>
      </c>
      <c r="C17" s="501"/>
      <c r="D17" s="909"/>
      <c r="E17" s="928"/>
    </row>
    <row r="18" spans="1:5" ht="12.75">
      <c r="A18" s="910">
        <v>51317</v>
      </c>
      <c r="B18" s="911" t="s">
        <v>92</v>
      </c>
      <c r="C18" s="912">
        <v>0</v>
      </c>
      <c r="D18" s="345"/>
      <c r="E18" s="929">
        <f>+C18</f>
        <v>0</v>
      </c>
    </row>
    <row r="19" spans="1:5" ht="12.75">
      <c r="A19" s="546">
        <v>513</v>
      </c>
      <c r="B19" s="501" t="s">
        <v>790</v>
      </c>
      <c r="C19" s="501"/>
      <c r="D19" s="909"/>
      <c r="E19" s="928">
        <f>+C18</f>
        <v>0</v>
      </c>
    </row>
    <row r="20" spans="1:5" ht="12.75">
      <c r="A20" s="546"/>
      <c r="B20" s="913" t="s">
        <v>111</v>
      </c>
      <c r="C20" s="913">
        <f>50000*12</f>
        <v>600000</v>
      </c>
      <c r="D20" s="909"/>
      <c r="E20" s="928">
        <f>ROUND(C20,-3)/1000</f>
        <v>600</v>
      </c>
    </row>
    <row r="21" spans="1:5" ht="12.75">
      <c r="A21" s="546"/>
      <c r="B21" s="913" t="s">
        <v>112</v>
      </c>
      <c r="C21" s="501"/>
      <c r="D21" s="909"/>
      <c r="E21" s="928"/>
    </row>
    <row r="22" spans="1:5" ht="12.75">
      <c r="A22" s="546">
        <v>514</v>
      </c>
      <c r="B22" s="501" t="s">
        <v>94</v>
      </c>
      <c r="C22" s="501"/>
      <c r="D22" s="909"/>
      <c r="E22" s="930">
        <f>E20</f>
        <v>600</v>
      </c>
    </row>
    <row r="23" spans="1:5" ht="12.75">
      <c r="A23" s="45">
        <v>522</v>
      </c>
      <c r="B23" s="473" t="s">
        <v>138</v>
      </c>
      <c r="C23" s="473"/>
      <c r="D23" s="474">
        <f>+(+C24+C25+C26)/1000</f>
        <v>0</v>
      </c>
      <c r="E23" s="931">
        <f>+D23</f>
        <v>0</v>
      </c>
    </row>
    <row r="24" spans="1:5" ht="12.75">
      <c r="A24" s="45"/>
      <c r="B24" s="914" t="s">
        <v>400</v>
      </c>
      <c r="C24" s="914">
        <v>0</v>
      </c>
      <c r="D24" s="474"/>
      <c r="E24" s="931"/>
    </row>
    <row r="25" spans="1:5" ht="12.75">
      <c r="A25" s="915"/>
      <c r="B25" s="914" t="s">
        <v>140</v>
      </c>
      <c r="C25" s="914">
        <v>0</v>
      </c>
      <c r="D25" s="496"/>
      <c r="E25" s="932"/>
    </row>
    <row r="26" spans="1:5" ht="12.75">
      <c r="A26" s="915"/>
      <c r="B26" s="914" t="s">
        <v>141</v>
      </c>
      <c r="C26" s="914">
        <v>0</v>
      </c>
      <c r="D26" s="496"/>
      <c r="E26" s="932"/>
    </row>
    <row r="27" spans="1:5" ht="13.5" thickBot="1">
      <c r="A27" s="1281" t="s">
        <v>1503</v>
      </c>
      <c r="B27" s="1282"/>
      <c r="C27" s="1282"/>
      <c r="D27" s="1282"/>
      <c r="E27" s="916">
        <f>+E22+E19+E16+E23</f>
        <v>6168</v>
      </c>
    </row>
    <row r="28" spans="1:5" ht="12.75">
      <c r="A28" s="65"/>
      <c r="B28" s="65"/>
      <c r="C28" s="66"/>
      <c r="D28" s="66"/>
      <c r="E28" s="66"/>
    </row>
    <row r="29" spans="1:5" ht="12.75">
      <c r="A29" s="65"/>
      <c r="B29" s="65"/>
      <c r="C29" s="66"/>
      <c r="D29" s="66"/>
      <c r="E29" s="66"/>
    </row>
    <row r="30" spans="1:5" ht="12.75">
      <c r="A30" s="1283" t="s">
        <v>1504</v>
      </c>
      <c r="B30" s="1284"/>
      <c r="C30" s="1284"/>
      <c r="D30" s="1284"/>
      <c r="E30" s="1284"/>
    </row>
    <row r="31" spans="1:5" ht="12.75">
      <c r="A31" s="917"/>
      <c r="B31" s="917"/>
      <c r="C31" s="918"/>
      <c r="D31" s="918"/>
      <c r="E31" s="918"/>
    </row>
    <row r="32" spans="1:5" ht="12.75">
      <c r="A32" s="917"/>
      <c r="B32" s="917"/>
      <c r="C32" s="918"/>
      <c r="D32" s="918"/>
      <c r="E32" s="918"/>
    </row>
    <row r="33" spans="1:5" ht="13.5" thickBot="1">
      <c r="A33" s="455">
        <v>53112</v>
      </c>
      <c r="B33" s="455" t="s">
        <v>1212</v>
      </c>
      <c r="C33" s="456"/>
      <c r="D33" s="550"/>
      <c r="E33" s="456">
        <f>+(E16+E19+E23)*0.27</f>
        <v>1503.3600000000001</v>
      </c>
    </row>
    <row r="34" spans="1:5" ht="13.5" thickBot="1">
      <c r="A34" s="1285" t="s">
        <v>992</v>
      </c>
      <c r="B34" s="1286"/>
      <c r="C34" s="1286"/>
      <c r="D34" s="1286"/>
      <c r="E34" s="919">
        <f>E33</f>
        <v>1503.3600000000001</v>
      </c>
    </row>
    <row r="35" spans="1:5" ht="12.75">
      <c r="A35" s="65"/>
      <c r="B35" s="65"/>
      <c r="C35" s="66"/>
      <c r="D35" s="66"/>
      <c r="E35" s="66"/>
    </row>
    <row r="36" spans="1:5" ht="12.75">
      <c r="A36" s="65"/>
      <c r="B36" s="65"/>
      <c r="C36" s="66"/>
      <c r="D36" s="66"/>
      <c r="E36" s="66"/>
    </row>
    <row r="37" spans="1:5" ht="12.75">
      <c r="A37" s="1287" t="s">
        <v>1506</v>
      </c>
      <c r="B37" s="1287"/>
      <c r="C37" s="1287"/>
      <c r="D37" s="1287"/>
      <c r="E37" s="1287"/>
    </row>
    <row r="38" spans="1:5" ht="12.75">
      <c r="A38" s="910">
        <v>54711</v>
      </c>
      <c r="B38" s="921" t="s">
        <v>9</v>
      </c>
      <c r="C38" s="922"/>
      <c r="D38" s="923"/>
      <c r="E38" s="933">
        <v>50</v>
      </c>
    </row>
    <row r="39" spans="1:5" ht="12.75">
      <c r="A39" s="910">
        <v>55111</v>
      </c>
      <c r="B39" s="921" t="s">
        <v>757</v>
      </c>
      <c r="C39" s="922"/>
      <c r="D39" s="923"/>
      <c r="E39" s="933">
        <v>161</v>
      </c>
    </row>
    <row r="40" spans="1:5" ht="12.75">
      <c r="A40" s="910"/>
      <c r="B40" s="921" t="s">
        <v>8</v>
      </c>
      <c r="C40" s="922"/>
      <c r="D40" s="923"/>
      <c r="E40" s="933">
        <v>100</v>
      </c>
    </row>
    <row r="41" spans="1:5" ht="12.75">
      <c r="A41" s="920">
        <v>55219</v>
      </c>
      <c r="B41" s="921" t="s">
        <v>7</v>
      </c>
      <c r="C41" s="922"/>
      <c r="D41" s="923"/>
      <c r="E41" s="933">
        <f>300+100</f>
        <v>400</v>
      </c>
    </row>
    <row r="42" spans="1:5" ht="12.75">
      <c r="A42" s="910">
        <v>56111</v>
      </c>
      <c r="B42" s="910" t="s">
        <v>139</v>
      </c>
      <c r="C42" s="911"/>
      <c r="D42" s="924"/>
      <c r="E42" s="933">
        <f>(E38+E39+E40+E44)*0.27</f>
        <v>256.77000000000004</v>
      </c>
    </row>
    <row r="43" spans="1:5" ht="12.75">
      <c r="A43" s="331">
        <v>57219</v>
      </c>
      <c r="B43" s="331" t="s">
        <v>6</v>
      </c>
      <c r="C43" s="331">
        <v>40793</v>
      </c>
      <c r="D43" s="912"/>
      <c r="E43" s="934">
        <v>41</v>
      </c>
    </row>
    <row r="44" spans="1:5" ht="12.75">
      <c r="A44" s="331"/>
      <c r="B44" s="331" t="s">
        <v>1311</v>
      </c>
      <c r="C44" s="331"/>
      <c r="D44" s="912"/>
      <c r="E44" s="934">
        <v>640</v>
      </c>
    </row>
    <row r="45" spans="1:5" ht="12.75">
      <c r="A45" s="1288" t="s">
        <v>162</v>
      </c>
      <c r="B45" s="1288"/>
      <c r="C45" s="1288"/>
      <c r="D45" s="1288"/>
      <c r="E45" s="935">
        <f>SUM(E38:E44)</f>
        <v>1648.77</v>
      </c>
    </row>
    <row r="46" spans="1:5" ht="12.75">
      <c r="A46" s="1277" t="s">
        <v>972</v>
      </c>
      <c r="B46" s="1277"/>
      <c r="C46" s="1277"/>
      <c r="D46" s="1277"/>
      <c r="E46" s="925">
        <f>+E27+E34+E45</f>
        <v>9320.130000000001</v>
      </c>
    </row>
    <row r="47" spans="1:5" ht="12.75">
      <c r="A47" s="25"/>
      <c r="B47" s="25"/>
      <c r="C47" s="25"/>
      <c r="D47" s="33"/>
      <c r="E47" s="25"/>
    </row>
    <row r="48" spans="1:5" ht="12.75">
      <c r="A48" s="25"/>
      <c r="B48" s="25"/>
      <c r="C48" s="25"/>
      <c r="D48" s="33"/>
      <c r="E48" s="25"/>
    </row>
    <row r="49" spans="1:5" ht="12.75">
      <c r="A49" s="25"/>
      <c r="B49" s="25"/>
      <c r="C49" s="25"/>
      <c r="D49" s="33"/>
      <c r="E49" s="25"/>
    </row>
    <row r="50" spans="1:5" ht="12.75">
      <c r="A50" s="25"/>
      <c r="B50" s="25"/>
      <c r="C50" s="25"/>
      <c r="D50" s="33"/>
      <c r="E50" s="25"/>
    </row>
    <row r="51" spans="1:5" ht="12.75">
      <c r="A51" s="25"/>
      <c r="B51" s="25"/>
      <c r="C51" s="25"/>
      <c r="D51" s="33"/>
      <c r="E51" s="25"/>
    </row>
  </sheetData>
  <sheetProtection/>
  <mergeCells count="10">
    <mergeCell ref="A46:D46"/>
    <mergeCell ref="A4:E4"/>
    <mergeCell ref="A5:E5"/>
    <mergeCell ref="A6:E6"/>
    <mergeCell ref="A7:E7"/>
    <mergeCell ref="A27:D27"/>
    <mergeCell ref="A30:E30"/>
    <mergeCell ref="A34:D34"/>
    <mergeCell ref="A37:E37"/>
    <mergeCell ref="A45:D45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5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6">
      <selection activeCell="B37" sqref="B37"/>
    </sheetView>
  </sheetViews>
  <sheetFormatPr defaultColWidth="9.140625" defaultRowHeight="12.75"/>
  <cols>
    <col min="1" max="1" width="7.8515625" style="0" bestFit="1" customWidth="1"/>
    <col min="2" max="2" width="64.140625" style="0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1529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278" t="s">
        <v>163</v>
      </c>
      <c r="B4" s="1278"/>
      <c r="C4" s="1278"/>
      <c r="D4" s="1278"/>
      <c r="E4" s="1278"/>
    </row>
    <row r="5" spans="1:5" ht="15">
      <c r="A5" s="1279" t="s">
        <v>1499</v>
      </c>
      <c r="B5" s="1279"/>
      <c r="C5" s="1279"/>
      <c r="D5" s="1279"/>
      <c r="E5" s="1279"/>
    </row>
    <row r="6" spans="1:5" ht="15">
      <c r="A6" s="1279" t="s">
        <v>27</v>
      </c>
      <c r="B6" s="1279"/>
      <c r="C6" s="1279"/>
      <c r="D6" s="1279"/>
      <c r="E6" s="1279"/>
    </row>
    <row r="7" spans="1:5" ht="15">
      <c r="A7" s="1280"/>
      <c r="B7" s="1280"/>
      <c r="C7" s="1280"/>
      <c r="D7" s="1280"/>
      <c r="E7" s="1280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1138</v>
      </c>
      <c r="B10" s="14" t="s">
        <v>1037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önk.'!Q5+'Bérek önk.'!Q7</f>
        <v>3679200</v>
      </c>
      <c r="D11" s="35"/>
      <c r="E11" s="35">
        <f>ROUND(C11,-3)/1000</f>
        <v>3679</v>
      </c>
    </row>
    <row r="12" spans="1:5" ht="12.75">
      <c r="A12" s="472"/>
      <c r="B12" s="472" t="s">
        <v>1530</v>
      </c>
      <c r="C12" s="63"/>
      <c r="D12" s="63"/>
      <c r="E12" s="35">
        <f aca="true" t="shared" si="0" ref="E12:E22">ROUND(C12,-3)/1000</f>
        <v>0</v>
      </c>
    </row>
    <row r="13" spans="1:5" ht="12.75">
      <c r="A13" s="472"/>
      <c r="B13" s="472" t="s">
        <v>1531</v>
      </c>
      <c r="C13" s="63"/>
      <c r="D13" s="63"/>
      <c r="E13" s="35">
        <f t="shared" si="0"/>
        <v>0</v>
      </c>
    </row>
    <row r="14" spans="1:5" ht="12.75">
      <c r="A14" s="472">
        <v>511122</v>
      </c>
      <c r="B14" s="472" t="s">
        <v>109</v>
      </c>
      <c r="C14" s="35"/>
      <c r="D14" s="35"/>
      <c r="E14" s="35">
        <f t="shared" si="0"/>
        <v>0</v>
      </c>
    </row>
    <row r="15" spans="1:5" ht="12.75">
      <c r="A15" s="472"/>
      <c r="B15" s="472"/>
      <c r="C15" s="63"/>
      <c r="D15" s="63"/>
      <c r="E15" s="35">
        <f t="shared" si="0"/>
        <v>0</v>
      </c>
    </row>
    <row r="16" spans="1:5" ht="12.75">
      <c r="A16" s="546">
        <v>511</v>
      </c>
      <c r="B16" s="547" t="s">
        <v>1501</v>
      </c>
      <c r="C16" s="35">
        <f>SUM(C11:C15)</f>
        <v>3679200</v>
      </c>
      <c r="D16" s="35"/>
      <c r="E16" s="35">
        <f t="shared" si="0"/>
        <v>3679</v>
      </c>
    </row>
    <row r="17" spans="1:5" ht="12.75">
      <c r="A17" s="546">
        <v>512</v>
      </c>
      <c r="B17" s="501" t="s">
        <v>93</v>
      </c>
      <c r="C17" s="909">
        <f>'Bérek önk.'!U5+'Bérek önk.'!U7</f>
        <v>30000</v>
      </c>
      <c r="D17" s="909"/>
      <c r="E17" s="35">
        <f t="shared" si="0"/>
        <v>30</v>
      </c>
    </row>
    <row r="18" spans="1:5" ht="12.75">
      <c r="A18" s="910">
        <v>51317</v>
      </c>
      <c r="B18" s="911" t="s">
        <v>92</v>
      </c>
      <c r="C18" s="912">
        <v>0</v>
      </c>
      <c r="D18" s="345"/>
      <c r="E18" s="35">
        <f t="shared" si="0"/>
        <v>0</v>
      </c>
    </row>
    <row r="19" spans="1:5" ht="12.75">
      <c r="A19" s="546">
        <v>513</v>
      </c>
      <c r="B19" s="501" t="s">
        <v>790</v>
      </c>
      <c r="C19" s="501"/>
      <c r="D19" s="909"/>
      <c r="E19" s="35">
        <f t="shared" si="0"/>
        <v>0</v>
      </c>
    </row>
    <row r="20" spans="1:5" ht="12.75">
      <c r="A20" s="546"/>
      <c r="B20" s="913" t="s">
        <v>111</v>
      </c>
      <c r="C20" s="913"/>
      <c r="D20" s="909"/>
      <c r="E20" s="35">
        <f t="shared" si="0"/>
        <v>0</v>
      </c>
    </row>
    <row r="21" spans="1:5" ht="12.75">
      <c r="A21" s="546"/>
      <c r="B21" s="913"/>
      <c r="C21" s="501"/>
      <c r="D21" s="909"/>
      <c r="E21" s="35">
        <f t="shared" si="0"/>
        <v>0</v>
      </c>
    </row>
    <row r="22" spans="1:5" ht="12.75">
      <c r="A22" s="546">
        <v>514</v>
      </c>
      <c r="B22" s="501" t="s">
        <v>94</v>
      </c>
      <c r="C22" s="501"/>
      <c r="D22" s="909"/>
      <c r="E22" s="35">
        <f t="shared" si="0"/>
        <v>0</v>
      </c>
    </row>
    <row r="23" spans="1:5" ht="13.5" thickBot="1">
      <c r="A23" s="1281" t="s">
        <v>1503</v>
      </c>
      <c r="B23" s="1282"/>
      <c r="C23" s="1282"/>
      <c r="D23" s="1282"/>
      <c r="E23" s="916">
        <f>E16+E17+E19+E22</f>
        <v>3709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1283" t="s">
        <v>1504</v>
      </c>
      <c r="B26" s="1284"/>
      <c r="C26" s="1284"/>
      <c r="D26" s="1284"/>
      <c r="E26" s="1284"/>
    </row>
    <row r="27" spans="1:5" ht="12.75">
      <c r="A27" s="917"/>
      <c r="B27" s="917"/>
      <c r="C27" s="918"/>
      <c r="D27" s="918"/>
      <c r="E27" s="918"/>
    </row>
    <row r="28" spans="1:5" ht="12.75">
      <c r="A28" s="917"/>
      <c r="B28" s="917"/>
      <c r="C28" s="918"/>
      <c r="D28" s="918"/>
      <c r="E28" s="918"/>
    </row>
    <row r="29" spans="1:5" ht="13.5" thickBot="1">
      <c r="A29" s="455">
        <v>53112</v>
      </c>
      <c r="B29" s="455" t="s">
        <v>1212</v>
      </c>
      <c r="C29" s="456"/>
      <c r="D29" s="550"/>
      <c r="E29" s="456">
        <f>+(E16+E17)*0.27</f>
        <v>1001.4300000000001</v>
      </c>
    </row>
    <row r="30" spans="1:5" ht="13.5" thickBot="1">
      <c r="A30" s="1285" t="s">
        <v>992</v>
      </c>
      <c r="B30" s="1286"/>
      <c r="C30" s="1286"/>
      <c r="D30" s="1286"/>
      <c r="E30" s="919">
        <v>1001</v>
      </c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1287" t="s">
        <v>1506</v>
      </c>
      <c r="B33" s="1287"/>
      <c r="C33" s="1287"/>
      <c r="D33" s="1287"/>
      <c r="E33" s="1287"/>
    </row>
    <row r="34" spans="1:5" ht="12.75">
      <c r="A34" s="920"/>
      <c r="B34" s="921"/>
      <c r="C34" s="922"/>
      <c r="D34" s="923"/>
      <c r="E34" s="933"/>
    </row>
    <row r="35" spans="1:5" ht="12.75">
      <c r="A35" s="920">
        <v>55219</v>
      </c>
      <c r="B35" s="921" t="s">
        <v>106</v>
      </c>
      <c r="C35" s="922"/>
      <c r="D35" s="923"/>
      <c r="E35" s="933"/>
    </row>
    <row r="36" spans="1:5" ht="12.75">
      <c r="A36" s="910">
        <v>56111</v>
      </c>
      <c r="B36" s="910" t="s">
        <v>139</v>
      </c>
      <c r="C36" s="911"/>
      <c r="D36" s="924"/>
      <c r="E36" s="933"/>
    </row>
    <row r="37" spans="1:5" ht="12.75">
      <c r="A37" s="910"/>
      <c r="B37" s="910"/>
      <c r="C37" s="910"/>
      <c r="D37" s="912"/>
      <c r="E37" s="934"/>
    </row>
    <row r="38" spans="1:5" ht="12.75">
      <c r="A38" s="1288" t="s">
        <v>162</v>
      </c>
      <c r="B38" s="1288"/>
      <c r="C38" s="1288"/>
      <c r="D38" s="1288"/>
      <c r="E38" s="935">
        <f>SUM(E34:E37)</f>
        <v>0</v>
      </c>
    </row>
    <row r="39" spans="1:5" ht="12.75">
      <c r="A39" s="1277" t="s">
        <v>972</v>
      </c>
      <c r="B39" s="1277"/>
      <c r="C39" s="1277"/>
      <c r="D39" s="1277"/>
      <c r="E39" s="925">
        <f>+E23+E30+E38</f>
        <v>4710</v>
      </c>
    </row>
    <row r="40" spans="1:5" ht="12.75">
      <c r="A40" s="25"/>
      <c r="B40" s="25"/>
      <c r="C40" s="25"/>
      <c r="D40" s="33"/>
      <c r="E40" s="25"/>
    </row>
    <row r="41" spans="1:5" ht="12.75">
      <c r="A41" s="25"/>
      <c r="B41" s="25"/>
      <c r="C41" s="25"/>
      <c r="D41" s="33"/>
      <c r="E41" s="25"/>
    </row>
    <row r="42" spans="1:5" ht="12.75">
      <c r="A42" s="25"/>
      <c r="B42" s="25"/>
      <c r="C42" s="25"/>
      <c r="D42" s="33"/>
      <c r="E42" s="25"/>
    </row>
    <row r="43" spans="1:5" ht="12.75">
      <c r="A43" s="25"/>
      <c r="B43" s="25"/>
      <c r="C43" s="25"/>
      <c r="D43" s="33"/>
      <c r="E43" s="25"/>
    </row>
    <row r="44" spans="1:5" ht="12.75">
      <c r="A44" s="25"/>
      <c r="B44" s="25"/>
      <c r="C44" s="25"/>
      <c r="D44" s="33"/>
      <c r="E44" s="25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</sheetData>
  <sheetProtection/>
  <mergeCells count="10">
    <mergeCell ref="A4:E4"/>
    <mergeCell ref="A5:E5"/>
    <mergeCell ref="A6:E6"/>
    <mergeCell ref="A7:E7"/>
    <mergeCell ref="A38:D38"/>
    <mergeCell ref="A39:D39"/>
    <mergeCell ref="A23:D23"/>
    <mergeCell ref="A26:E26"/>
    <mergeCell ref="A30:D30"/>
    <mergeCell ref="A33:E3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0">
      <selection activeCell="E44" sqref="E44"/>
    </sheetView>
  </sheetViews>
  <sheetFormatPr defaultColWidth="9.140625" defaultRowHeight="12.75"/>
  <cols>
    <col min="1" max="1" width="7.8515625" style="0" bestFit="1" customWidth="1"/>
    <col min="2" max="2" width="61.421875" style="0" customWidth="1"/>
    <col min="3" max="3" width="10.00390625" style="0" customWidth="1"/>
  </cols>
  <sheetData>
    <row r="1" spans="1:5" ht="15.75">
      <c r="A1" s="91"/>
      <c r="B1" s="142" t="s">
        <v>174</v>
      </c>
      <c r="C1" s="91"/>
      <c r="D1" s="98"/>
      <c r="E1" s="91"/>
    </row>
    <row r="2" spans="1:5" ht="15.75">
      <c r="A2" s="91"/>
      <c r="B2" s="142" t="s">
        <v>0</v>
      </c>
      <c r="C2" s="91"/>
      <c r="D2" s="98"/>
      <c r="E2" s="91"/>
    </row>
    <row r="3" spans="1:5" ht="15">
      <c r="A3" s="91"/>
      <c r="B3" s="91"/>
      <c r="C3" s="91"/>
      <c r="D3" s="98"/>
      <c r="E3" s="91"/>
    </row>
    <row r="4" spans="1:5" ht="15">
      <c r="A4" s="1278" t="s">
        <v>163</v>
      </c>
      <c r="B4" s="1278"/>
      <c r="C4" s="1278"/>
      <c r="D4" s="1278"/>
      <c r="E4" s="1278"/>
    </row>
    <row r="5" spans="1:5" ht="15">
      <c r="A5" s="1279" t="s">
        <v>1499</v>
      </c>
      <c r="B5" s="1279"/>
      <c r="C5" s="1279"/>
      <c r="D5" s="1279"/>
      <c r="E5" s="1279"/>
    </row>
    <row r="6" spans="1:5" ht="15">
      <c r="A6" s="1279" t="s">
        <v>27</v>
      </c>
      <c r="B6" s="1279"/>
      <c r="C6" s="1279"/>
      <c r="D6" s="1279"/>
      <c r="E6" s="1279"/>
    </row>
    <row r="7" spans="1:5" ht="15">
      <c r="A7" s="1280"/>
      <c r="B7" s="1280"/>
      <c r="C7" s="1280"/>
      <c r="D7" s="1280"/>
      <c r="E7" s="1280"/>
    </row>
    <row r="8" spans="1:5" ht="15">
      <c r="A8" s="97"/>
      <c r="B8" s="91"/>
      <c r="C8" s="98"/>
      <c r="D8" s="98"/>
      <c r="E8" s="98" t="s">
        <v>29</v>
      </c>
    </row>
    <row r="9" spans="1:5" ht="15">
      <c r="A9" s="97"/>
      <c r="B9" s="91"/>
      <c r="C9" s="98"/>
      <c r="D9" s="98"/>
      <c r="E9" s="98"/>
    </row>
    <row r="10" spans="1:5" ht="12.75">
      <c r="A10" s="14" t="s">
        <v>1138</v>
      </c>
      <c r="B10" s="14" t="s">
        <v>1037</v>
      </c>
      <c r="C10" s="15"/>
      <c r="D10" s="15"/>
      <c r="E10" s="15"/>
    </row>
    <row r="11" spans="1:5" ht="12.75">
      <c r="A11" s="14">
        <v>511112</v>
      </c>
      <c r="B11" s="14" t="s">
        <v>32</v>
      </c>
      <c r="C11" s="35">
        <f>'Bérek önk.'!Q6+'Bérek önk.'!Q8</f>
        <v>4430400</v>
      </c>
      <c r="D11" s="35"/>
      <c r="E11" s="35">
        <f>ROUND(C11,-3)/1000</f>
        <v>4430</v>
      </c>
    </row>
    <row r="12" spans="1:5" ht="12.75">
      <c r="A12" s="472"/>
      <c r="B12" s="472" t="s">
        <v>1</v>
      </c>
      <c r="C12" s="63"/>
      <c r="D12" s="63"/>
      <c r="E12" s="35"/>
    </row>
    <row r="13" spans="1:5" ht="12.75">
      <c r="A13" s="472"/>
      <c r="B13" s="472" t="s">
        <v>2</v>
      </c>
      <c r="C13" s="63"/>
      <c r="D13" s="63"/>
      <c r="E13" s="35"/>
    </row>
    <row r="14" spans="1:5" ht="12.75">
      <c r="A14" s="472">
        <v>511122</v>
      </c>
      <c r="B14" s="472" t="s">
        <v>109</v>
      </c>
      <c r="C14" s="35"/>
      <c r="D14" s="35"/>
      <c r="E14" s="35"/>
    </row>
    <row r="15" spans="1:5" ht="12.75">
      <c r="A15" s="472"/>
      <c r="B15" s="472"/>
      <c r="C15" s="63"/>
      <c r="D15" s="63"/>
      <c r="E15" s="35"/>
    </row>
    <row r="16" spans="1:5" ht="12.75">
      <c r="A16" s="546">
        <v>511</v>
      </c>
      <c r="B16" s="547" t="s">
        <v>1501</v>
      </c>
      <c r="C16" s="35">
        <f>SUM(C11:C15)</f>
        <v>4430400</v>
      </c>
      <c r="D16" s="35"/>
      <c r="E16" s="35">
        <f>ROUND(C16,-3)/1000</f>
        <v>4430</v>
      </c>
    </row>
    <row r="17" spans="1:5" ht="12.75">
      <c r="A17" s="546">
        <v>512</v>
      </c>
      <c r="B17" s="501" t="s">
        <v>93</v>
      </c>
      <c r="C17" s="909">
        <f>'Bérek önk.'!U6+'Bérek önk.'!U8</f>
        <v>30000</v>
      </c>
      <c r="D17" s="909"/>
      <c r="E17" s="35">
        <f>ROUND(C17,-3)/1000</f>
        <v>30</v>
      </c>
    </row>
    <row r="18" spans="1:5" ht="12.75">
      <c r="A18" s="910">
        <v>51317</v>
      </c>
      <c r="B18" s="911" t="s">
        <v>92</v>
      </c>
      <c r="C18" s="912">
        <v>0</v>
      </c>
      <c r="D18" s="345"/>
      <c r="E18" s="929">
        <f>+C18</f>
        <v>0</v>
      </c>
    </row>
    <row r="19" spans="1:5" ht="12.75">
      <c r="A19" s="546">
        <v>513</v>
      </c>
      <c r="B19" s="501" t="s">
        <v>790</v>
      </c>
      <c r="C19" s="501"/>
      <c r="D19" s="909"/>
      <c r="E19" s="928">
        <f>+C18</f>
        <v>0</v>
      </c>
    </row>
    <row r="20" spans="1:5" ht="12.75">
      <c r="A20" s="546"/>
      <c r="B20" s="913" t="s">
        <v>111</v>
      </c>
      <c r="C20" s="913"/>
      <c r="D20" s="909"/>
      <c r="E20" s="928">
        <f>ROUND(C20,-3)/1000</f>
        <v>0</v>
      </c>
    </row>
    <row r="21" spans="1:5" ht="12.75">
      <c r="A21" s="546"/>
      <c r="B21" s="913"/>
      <c r="C21" s="501"/>
      <c r="D21" s="909"/>
      <c r="E21" s="928"/>
    </row>
    <row r="22" spans="1:5" ht="12.75">
      <c r="A22" s="546">
        <v>514</v>
      </c>
      <c r="B22" s="501" t="s">
        <v>94</v>
      </c>
      <c r="C22" s="501"/>
      <c r="D22" s="909"/>
      <c r="E22" s="930">
        <f>E20</f>
        <v>0</v>
      </c>
    </row>
    <row r="23" spans="1:5" ht="13.5" thickBot="1">
      <c r="A23" s="1281" t="s">
        <v>1503</v>
      </c>
      <c r="B23" s="1282"/>
      <c r="C23" s="1282"/>
      <c r="D23" s="1282"/>
      <c r="E23" s="916">
        <f>E16+E17+E19+E22</f>
        <v>4460</v>
      </c>
    </row>
    <row r="24" spans="1:5" ht="12.75">
      <c r="A24" s="65"/>
      <c r="B24" s="65"/>
      <c r="C24" s="66"/>
      <c r="D24" s="66"/>
      <c r="E24" s="66"/>
    </row>
    <row r="25" spans="1:5" ht="12.75">
      <c r="A25" s="65"/>
      <c r="B25" s="65"/>
      <c r="C25" s="66"/>
      <c r="D25" s="66"/>
      <c r="E25" s="66"/>
    </row>
    <row r="26" spans="1:5" ht="12.75">
      <c r="A26" s="1283" t="s">
        <v>1504</v>
      </c>
      <c r="B26" s="1284"/>
      <c r="C26" s="1284"/>
      <c r="D26" s="1284"/>
      <c r="E26" s="1284"/>
    </row>
    <row r="27" spans="1:5" ht="12.75">
      <c r="A27" s="917"/>
      <c r="B27" s="917"/>
      <c r="C27" s="918"/>
      <c r="D27" s="918"/>
      <c r="E27" s="918"/>
    </row>
    <row r="28" spans="1:5" ht="12.75">
      <c r="A28" s="917"/>
      <c r="B28" s="917"/>
      <c r="C28" s="918"/>
      <c r="D28" s="918"/>
      <c r="E28" s="918"/>
    </row>
    <row r="29" spans="1:5" ht="13.5" thickBot="1">
      <c r="A29" s="455">
        <v>53112</v>
      </c>
      <c r="B29" s="455" t="s">
        <v>1212</v>
      </c>
      <c r="C29" s="456"/>
      <c r="D29" s="550"/>
      <c r="E29" s="456">
        <f>+(E16+E17)*0.27</f>
        <v>1204.2</v>
      </c>
    </row>
    <row r="30" spans="1:5" ht="13.5" thickBot="1">
      <c r="A30" s="1285" t="s">
        <v>992</v>
      </c>
      <c r="B30" s="1286"/>
      <c r="C30" s="1286"/>
      <c r="D30" s="1286"/>
      <c r="E30" s="919">
        <v>1204</v>
      </c>
    </row>
    <row r="31" spans="1:5" ht="12.75">
      <c r="A31" s="65"/>
      <c r="B31" s="65"/>
      <c r="C31" s="66"/>
      <c r="D31" s="66"/>
      <c r="E31" s="66"/>
    </row>
    <row r="32" spans="1:5" ht="12.75">
      <c r="A32" s="65"/>
      <c r="B32" s="65"/>
      <c r="C32" s="66"/>
      <c r="D32" s="66"/>
      <c r="E32" s="66"/>
    </row>
    <row r="33" spans="1:5" ht="12.75">
      <c r="A33" s="1287" t="s">
        <v>1506</v>
      </c>
      <c r="B33" s="1287"/>
      <c r="C33" s="1287"/>
      <c r="D33" s="1287"/>
      <c r="E33" s="1287"/>
    </row>
    <row r="34" spans="1:5" ht="12.75">
      <c r="A34" s="920"/>
      <c r="B34" s="921"/>
      <c r="C34" s="922"/>
      <c r="D34" s="923"/>
      <c r="E34" s="933"/>
    </row>
    <row r="35" spans="1:5" ht="12.75">
      <c r="A35" s="920">
        <v>55219</v>
      </c>
      <c r="B35" s="921" t="s">
        <v>3</v>
      </c>
      <c r="C35" s="922">
        <f>576000+100000</f>
        <v>676000</v>
      </c>
      <c r="D35" s="923"/>
      <c r="E35" s="933">
        <f>ROUND(C35,-3)/1000</f>
        <v>676</v>
      </c>
    </row>
    <row r="36" spans="1:5" ht="12.75">
      <c r="A36" s="920">
        <v>55111</v>
      </c>
      <c r="B36" s="921" t="s">
        <v>756</v>
      </c>
      <c r="C36" s="922"/>
      <c r="D36" s="923"/>
      <c r="E36" s="933">
        <v>210</v>
      </c>
    </row>
    <row r="37" spans="1:5" ht="12.75">
      <c r="A37" s="920"/>
      <c r="B37" s="921" t="s">
        <v>765</v>
      </c>
      <c r="C37" s="922"/>
      <c r="D37" s="923" t="s">
        <v>767</v>
      </c>
      <c r="E37" s="933">
        <v>350</v>
      </c>
    </row>
    <row r="38" spans="1:5" ht="12.75">
      <c r="A38" s="920"/>
      <c r="B38" s="921" t="s">
        <v>766</v>
      </c>
      <c r="C38" s="922"/>
      <c r="D38" s="923"/>
      <c r="E38" s="933">
        <v>62</v>
      </c>
    </row>
    <row r="39" spans="1:5" ht="12.75">
      <c r="A39" s="910">
        <v>56111</v>
      </c>
      <c r="B39" s="910" t="s">
        <v>139</v>
      </c>
      <c r="C39" s="911"/>
      <c r="D39" s="924"/>
      <c r="E39" s="933">
        <f>(E40+E41+E36+E37+E38+E43)*0.27</f>
        <v>429.84000000000003</v>
      </c>
    </row>
    <row r="40" spans="1:5" ht="12.75">
      <c r="A40" s="910">
        <v>54711</v>
      </c>
      <c r="B40" s="910" t="s">
        <v>4</v>
      </c>
      <c r="C40" s="910"/>
      <c r="D40" s="912"/>
      <c r="E40" s="934">
        <v>70</v>
      </c>
    </row>
    <row r="41" spans="1:5" ht="12.75">
      <c r="A41" s="910">
        <v>5431</v>
      </c>
      <c r="B41" s="910" t="s">
        <v>5</v>
      </c>
      <c r="C41" s="910"/>
      <c r="D41" s="912"/>
      <c r="E41" s="934">
        <v>50</v>
      </c>
    </row>
    <row r="42" spans="1:5" ht="12.75">
      <c r="A42" s="910"/>
      <c r="B42" s="910" t="s">
        <v>1403</v>
      </c>
      <c r="C42" s="910"/>
      <c r="D42" s="912">
        <v>12168</v>
      </c>
      <c r="E42" s="934">
        <v>12</v>
      </c>
    </row>
    <row r="43" spans="1:5" ht="12.75">
      <c r="A43" s="910"/>
      <c r="B43" s="910" t="s">
        <v>392</v>
      </c>
      <c r="C43" s="910"/>
      <c r="D43" s="912"/>
      <c r="E43" s="934">
        <v>850</v>
      </c>
    </row>
    <row r="44" spans="1:5" ht="12.75">
      <c r="A44" s="1288" t="s">
        <v>162</v>
      </c>
      <c r="B44" s="1288"/>
      <c r="C44" s="1288"/>
      <c r="D44" s="1288"/>
      <c r="E44" s="935">
        <f>SUM(E34:E43)</f>
        <v>2709.84</v>
      </c>
    </row>
    <row r="45" spans="1:5" ht="12.75">
      <c r="A45" s="1277" t="s">
        <v>972</v>
      </c>
      <c r="B45" s="1277"/>
      <c r="C45" s="1277"/>
      <c r="D45" s="1277"/>
      <c r="E45" s="925">
        <f>+E23+E30+E44</f>
        <v>8373.84</v>
      </c>
    </row>
    <row r="46" spans="1:5" ht="12.75">
      <c r="A46" s="25"/>
      <c r="B46" s="25"/>
      <c r="C46" s="25"/>
      <c r="D46" s="33"/>
      <c r="E46" s="25"/>
    </row>
    <row r="47" spans="1:5" ht="12.75">
      <c r="A47" s="25"/>
      <c r="B47" s="25"/>
      <c r="C47" s="25"/>
      <c r="D47" s="33"/>
      <c r="E47" s="25"/>
    </row>
    <row r="48" spans="1:5" ht="12.75">
      <c r="A48" s="25"/>
      <c r="B48" s="25"/>
      <c r="C48" s="25"/>
      <c r="D48" s="33"/>
      <c r="E48" s="25"/>
    </row>
    <row r="49" spans="1:5" ht="12.75">
      <c r="A49" s="25"/>
      <c r="B49" s="25"/>
      <c r="C49" s="25"/>
      <c r="D49" s="33"/>
      <c r="E49" s="25"/>
    </row>
    <row r="50" spans="1:5" ht="12.75">
      <c r="A50" s="25"/>
      <c r="B50" s="25"/>
      <c r="C50" s="25"/>
      <c r="D50" s="33"/>
      <c r="E50" s="25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</sheetData>
  <sheetProtection/>
  <mergeCells count="10">
    <mergeCell ref="A44:D44"/>
    <mergeCell ref="A45:D45"/>
    <mergeCell ref="A4:E4"/>
    <mergeCell ref="A5:E5"/>
    <mergeCell ref="A6:E6"/>
    <mergeCell ref="A7:E7"/>
    <mergeCell ref="A23:D23"/>
    <mergeCell ref="A26:E26"/>
    <mergeCell ref="A30:D30"/>
    <mergeCell ref="A33:E33"/>
  </mergeCells>
  <printOptions/>
  <pageMargins left="0.75" right="0.75" top="1" bottom="1" header="0.5" footer="0.5"/>
  <pageSetup horizontalDpi="1200" verticalDpi="12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56.140625" style="0" bestFit="1" customWidth="1"/>
    <col min="3" max="3" width="10.140625" style="0" bestFit="1" customWidth="1"/>
  </cols>
  <sheetData>
    <row r="1" ht="37.5" customHeight="1"/>
    <row r="2" spans="2:4" ht="15">
      <c r="B2" s="310"/>
      <c r="C2" s="217"/>
      <c r="D2" s="217"/>
    </row>
    <row r="3" spans="2:4" ht="12.75">
      <c r="B3" s="53" t="s">
        <v>983</v>
      </c>
      <c r="C3" s="626"/>
      <c r="D3" s="179">
        <f>SUM(D4:D8)</f>
        <v>132795</v>
      </c>
    </row>
    <row r="4" spans="2:4" ht="12.75">
      <c r="B4" s="331" t="s">
        <v>984</v>
      </c>
      <c r="C4" s="626">
        <f>'862101-Háziorvosi alapellátás'!C11</f>
        <v>5568000</v>
      </c>
      <c r="D4" s="626">
        <f>ROUND(C4,-3)/1000</f>
        <v>5568</v>
      </c>
    </row>
    <row r="5" spans="2:4" ht="12.75">
      <c r="B5" s="331" t="s">
        <v>985</v>
      </c>
      <c r="C5" s="626">
        <f>'869041-Védőnő1'!C11+'869042-Védőnő2'!C11</f>
        <v>8109600</v>
      </c>
      <c r="D5" s="626">
        <f>ROUND(C5,-3)/1000</f>
        <v>8110</v>
      </c>
    </row>
    <row r="6" spans="2:4" ht="12.75">
      <c r="B6" s="331" t="s">
        <v>986</v>
      </c>
      <c r="C6" s="6"/>
      <c r="D6" s="626">
        <f>'841112-117-Képviselőtestület'!E12</f>
        <v>3780</v>
      </c>
    </row>
    <row r="7" spans="2:4" ht="12.75">
      <c r="B7" s="418" t="s">
        <v>987</v>
      </c>
      <c r="C7" s="6"/>
      <c r="D7" s="626">
        <f>'890441-Közcélú 2012'!D30</f>
        <v>114137</v>
      </c>
    </row>
    <row r="8" spans="2:4" ht="12.75">
      <c r="B8" s="648" t="s">
        <v>1320</v>
      </c>
      <c r="C8" s="6"/>
      <c r="D8" s="626">
        <v>1200</v>
      </c>
    </row>
    <row r="9" spans="2:4" ht="12.75">
      <c r="B9" s="648"/>
      <c r="C9" s="6"/>
      <c r="D9" s="626"/>
    </row>
    <row r="10" spans="2:4" ht="12.75">
      <c r="B10" s="648"/>
      <c r="C10" s="626"/>
      <c r="D10" s="626">
        <f>ROUND(C10,-3)/1000</f>
        <v>0</v>
      </c>
    </row>
    <row r="11" spans="2:4" ht="12.75">
      <c r="B11" s="1041" t="s">
        <v>989</v>
      </c>
      <c r="C11" s="626"/>
      <c r="D11" s="179">
        <f>D12</f>
        <v>60</v>
      </c>
    </row>
    <row r="12" spans="2:4" ht="12.75">
      <c r="B12" s="1041" t="s">
        <v>985</v>
      </c>
      <c r="C12" s="626"/>
      <c r="D12" s="626">
        <f>'869041-Védőnő1'!E17+'869042-Védőnő2'!E17</f>
        <v>60</v>
      </c>
    </row>
    <row r="13" spans="2:4" ht="12.75">
      <c r="B13" s="1041"/>
      <c r="C13" s="626"/>
      <c r="D13" s="626"/>
    </row>
    <row r="14" spans="2:4" ht="12.75">
      <c r="B14" s="53" t="s">
        <v>982</v>
      </c>
      <c r="C14" s="626"/>
      <c r="D14" s="179">
        <f>D15</f>
        <v>600</v>
      </c>
    </row>
    <row r="15" spans="2:4" ht="12.75">
      <c r="B15" s="331" t="s">
        <v>990</v>
      </c>
      <c r="C15" s="626"/>
      <c r="D15" s="626">
        <f>'862101-Háziorvosi alapellátás'!E20</f>
        <v>600</v>
      </c>
    </row>
    <row r="16" spans="2:4" ht="12.75">
      <c r="B16" s="331"/>
      <c r="C16" s="626"/>
      <c r="D16" s="626"/>
    </row>
    <row r="17" spans="2:4" ht="12.75">
      <c r="B17" s="331" t="s">
        <v>988</v>
      </c>
      <c r="C17" s="624"/>
      <c r="D17" s="626">
        <f>ROUND(C17,-3)/1000</f>
        <v>0</v>
      </c>
    </row>
    <row r="20" spans="2:4" ht="12.75">
      <c r="B20" s="10" t="s">
        <v>991</v>
      </c>
      <c r="D20" s="11">
        <f>'862101-Háziorvosi alapellátás'!E34+'869041-Védőnő1'!E30+'869042-Védőnő2'!E30+'841112-117-Képviselőtestület'!E18+'890441-Közcélú 2012'!D35</f>
        <v>20137.96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9.57421875" style="0" customWidth="1"/>
    <col min="2" max="2" width="56.57421875" style="0" bestFit="1" customWidth="1"/>
    <col min="3" max="3" width="14.421875" style="0" customWidth="1"/>
    <col min="4" max="4" width="10.8515625" style="0" bestFit="1" customWidth="1"/>
    <col min="5" max="5" width="22.7109375" style="0" customWidth="1"/>
    <col min="6" max="6" width="12.140625" style="0" customWidth="1"/>
    <col min="7" max="7" width="9.28125" style="0" bestFit="1" customWidth="1"/>
  </cols>
  <sheetData>
    <row r="1" ht="12.75">
      <c r="B1" s="812" t="s">
        <v>174</v>
      </c>
    </row>
    <row r="2" ht="12.75">
      <c r="B2" s="20" t="s">
        <v>24</v>
      </c>
    </row>
    <row r="4" spans="1:4" ht="15">
      <c r="A4" s="1271" t="s">
        <v>163</v>
      </c>
      <c r="B4" s="1271"/>
      <c r="C4" s="1271"/>
      <c r="D4" s="72"/>
    </row>
    <row r="5" spans="1:4" ht="15">
      <c r="A5" s="1279" t="s">
        <v>1499</v>
      </c>
      <c r="B5" s="1279"/>
      <c r="C5" s="1279"/>
      <c r="D5" s="773"/>
    </row>
    <row r="6" spans="1:4" ht="15">
      <c r="A6" s="97"/>
      <c r="B6" s="91"/>
      <c r="C6" s="98" t="s">
        <v>28</v>
      </c>
      <c r="D6" s="98" t="s">
        <v>29</v>
      </c>
    </row>
    <row r="7" spans="1:4" ht="12.75">
      <c r="A7" s="12">
        <v>511115</v>
      </c>
      <c r="B7" s="12" t="s">
        <v>178</v>
      </c>
      <c r="C7" s="35">
        <f>SUM(C8:C19)</f>
        <v>114137400</v>
      </c>
      <c r="D7" s="35">
        <f>SUM(D8:D19)</f>
        <v>114137</v>
      </c>
    </row>
    <row r="8" spans="1:6" ht="12.75">
      <c r="A8" s="12"/>
      <c r="B8" s="14" t="s">
        <v>745</v>
      </c>
      <c r="C8" s="776">
        <f>75500*47*11</f>
        <v>39033500</v>
      </c>
      <c r="D8" s="35">
        <v>39033</v>
      </c>
      <c r="E8">
        <f>47*(11/12)</f>
        <v>43.08333333333333</v>
      </c>
      <c r="F8">
        <f>C8/E8/12</f>
        <v>75500.00000000001</v>
      </c>
    </row>
    <row r="9" spans="1:6" ht="12.75">
      <c r="A9" s="12"/>
      <c r="B9" s="14" t="s">
        <v>746</v>
      </c>
      <c r="C9" s="15">
        <f>96800*8*11</f>
        <v>8518400</v>
      </c>
      <c r="D9" s="35">
        <f aca="true" t="shared" si="0" ref="D9:D19">+ROUND(C9,-3)/1000</f>
        <v>8518</v>
      </c>
      <c r="E9">
        <f>8*(11/12)</f>
        <v>7.333333333333333</v>
      </c>
      <c r="F9">
        <f aca="true" t="shared" si="1" ref="F9:F20">C9/E9/12</f>
        <v>96800</v>
      </c>
    </row>
    <row r="10" spans="1:6" ht="12.75">
      <c r="A10" s="12"/>
      <c r="B10" s="14" t="s">
        <v>747</v>
      </c>
      <c r="C10" s="15">
        <f>75500*5*9</f>
        <v>3397500</v>
      </c>
      <c r="D10" s="35">
        <v>3397</v>
      </c>
      <c r="E10">
        <f>5*(9/12)</f>
        <v>3.75</v>
      </c>
      <c r="F10">
        <f t="shared" si="1"/>
        <v>75500</v>
      </c>
    </row>
    <row r="11" spans="1:6" ht="12.75">
      <c r="A11" s="12"/>
      <c r="B11" s="14" t="s">
        <v>748</v>
      </c>
      <c r="C11" s="15">
        <v>968000</v>
      </c>
      <c r="D11" s="35">
        <f t="shared" si="0"/>
        <v>968</v>
      </c>
      <c r="E11">
        <f>1*(10/12)</f>
        <v>0.8333333333333334</v>
      </c>
      <c r="F11">
        <f t="shared" si="1"/>
        <v>96800</v>
      </c>
    </row>
    <row r="12" spans="1:6" ht="12.75">
      <c r="A12" s="14"/>
      <c r="B12" s="14" t="s">
        <v>755</v>
      </c>
      <c r="C12" s="18">
        <f>75500*9*10</f>
        <v>6795000</v>
      </c>
      <c r="D12" s="35">
        <f t="shared" si="0"/>
        <v>6795</v>
      </c>
      <c r="E12">
        <f>9*(10/12)</f>
        <v>7.5</v>
      </c>
      <c r="F12">
        <f t="shared" si="1"/>
        <v>75500</v>
      </c>
    </row>
    <row r="13" spans="1:6" ht="12.75">
      <c r="A13" s="14"/>
      <c r="B13" s="14" t="s">
        <v>749</v>
      </c>
      <c r="C13" s="15">
        <v>968000</v>
      </c>
      <c r="D13" s="35">
        <f t="shared" si="0"/>
        <v>968</v>
      </c>
      <c r="E13">
        <f>1*(10/12)</f>
        <v>0.8333333333333334</v>
      </c>
      <c r="F13">
        <f t="shared" si="1"/>
        <v>96800</v>
      </c>
    </row>
    <row r="14" spans="1:6" ht="12.75">
      <c r="A14" s="14"/>
      <c r="B14" s="14" t="s">
        <v>749</v>
      </c>
      <c r="C14" s="15">
        <v>968000</v>
      </c>
      <c r="D14" s="35">
        <f t="shared" si="0"/>
        <v>968</v>
      </c>
      <c r="E14">
        <f>1*(10/12)</f>
        <v>0.8333333333333334</v>
      </c>
      <c r="F14">
        <f t="shared" si="1"/>
        <v>96800</v>
      </c>
    </row>
    <row r="15" spans="1:6" ht="12.75">
      <c r="A15" s="14"/>
      <c r="B15" s="42" t="s">
        <v>750</v>
      </c>
      <c r="C15" s="18">
        <f>75500*13*10</f>
        <v>9815000</v>
      </c>
      <c r="D15" s="35">
        <f t="shared" si="0"/>
        <v>9815</v>
      </c>
      <c r="E15">
        <f>13*(10/12)</f>
        <v>10.833333333333334</v>
      </c>
      <c r="F15">
        <f t="shared" si="1"/>
        <v>75500</v>
      </c>
    </row>
    <row r="16" spans="1:6" ht="12.75">
      <c r="A16" s="452"/>
      <c r="B16" s="42" t="s">
        <v>751</v>
      </c>
      <c r="C16" s="18">
        <f>75500*47*9</f>
        <v>31936500</v>
      </c>
      <c r="D16" s="35">
        <f t="shared" si="0"/>
        <v>31937</v>
      </c>
      <c r="E16">
        <f>47*(9/12)</f>
        <v>35.25</v>
      </c>
      <c r="F16">
        <f t="shared" si="1"/>
        <v>75500</v>
      </c>
    </row>
    <row r="17" spans="1:6" ht="12.75">
      <c r="A17" s="452"/>
      <c r="B17" s="42" t="s">
        <v>752</v>
      </c>
      <c r="C17" s="18">
        <f>96800*3*9</f>
        <v>2613600</v>
      </c>
      <c r="D17" s="35">
        <f t="shared" si="0"/>
        <v>2614</v>
      </c>
      <c r="E17">
        <f>3*(9/12)</f>
        <v>2.25</v>
      </c>
      <c r="F17">
        <f t="shared" si="1"/>
        <v>96800</v>
      </c>
    </row>
    <row r="18" spans="1:6" ht="12.75">
      <c r="A18" s="452"/>
      <c r="B18" s="14" t="s">
        <v>753</v>
      </c>
      <c r="C18" s="15">
        <f>96800*3*1</f>
        <v>290400</v>
      </c>
      <c r="D18" s="35">
        <f t="shared" si="0"/>
        <v>290</v>
      </c>
      <c r="E18">
        <f>1*(3/12)</f>
        <v>0.25</v>
      </c>
      <c r="F18">
        <f t="shared" si="1"/>
        <v>96800</v>
      </c>
    </row>
    <row r="19" spans="1:6" ht="12.75">
      <c r="A19" s="452"/>
      <c r="B19" s="14" t="s">
        <v>754</v>
      </c>
      <c r="C19" s="15">
        <f>75500*39*3</f>
        <v>8833500</v>
      </c>
      <c r="D19" s="35">
        <f t="shared" si="0"/>
        <v>8834</v>
      </c>
      <c r="E19">
        <f>39*(3/12)</f>
        <v>9.75</v>
      </c>
      <c r="F19">
        <f t="shared" si="1"/>
        <v>75500</v>
      </c>
    </row>
    <row r="20" spans="1:6" ht="12.75">
      <c r="A20" s="12">
        <v>516115</v>
      </c>
      <c r="B20" s="12" t="s">
        <v>921</v>
      </c>
      <c r="C20" s="35">
        <f>SUM(C21:C25)</f>
        <v>0</v>
      </c>
      <c r="D20" s="35">
        <f>+ROUND(C20,-3)/1000</f>
        <v>0</v>
      </c>
      <c r="E20">
        <f>SUM(E8:E19)</f>
        <v>122.5</v>
      </c>
      <c r="F20">
        <f t="shared" si="1"/>
        <v>0</v>
      </c>
    </row>
    <row r="21" spans="1:6" ht="12.75">
      <c r="A21" s="12"/>
      <c r="B21" s="14"/>
      <c r="C21" s="18"/>
      <c r="D21" s="15"/>
      <c r="E21">
        <f>C19/E20</f>
        <v>72110.20408163265</v>
      </c>
      <c r="F21">
        <f>C7/E20/12</f>
        <v>77644.48979591836</v>
      </c>
    </row>
    <row r="22" spans="1:4" ht="12.75">
      <c r="A22" s="14"/>
      <c r="B22" s="14"/>
      <c r="C22" s="15"/>
      <c r="D22" s="15"/>
    </row>
    <row r="23" spans="1:4" ht="12.75">
      <c r="A23" s="14"/>
      <c r="B23" s="14"/>
      <c r="C23" s="15"/>
      <c r="D23" s="15"/>
    </row>
    <row r="24" spans="1:4" ht="12.75">
      <c r="A24" s="14"/>
      <c r="B24" s="14"/>
      <c r="C24" s="15"/>
      <c r="D24" s="35"/>
    </row>
    <row r="25" spans="1:4" ht="12.75">
      <c r="A25" s="14"/>
      <c r="B25" s="14"/>
      <c r="C25" s="15"/>
      <c r="D25" s="35"/>
    </row>
    <row r="26" spans="1:4" ht="12.75">
      <c r="A26" s="468"/>
      <c r="B26" s="468"/>
      <c r="C26" s="459"/>
      <c r="D26" s="456"/>
    </row>
    <row r="27" spans="1:4" ht="12.75">
      <c r="A27" s="677"/>
      <c r="B27" s="678"/>
      <c r="C27" s="777"/>
      <c r="D27" s="680"/>
    </row>
    <row r="28" spans="1:4" ht="12.75">
      <c r="A28" s="677"/>
      <c r="B28" s="678"/>
      <c r="C28" s="679"/>
      <c r="D28" s="680"/>
    </row>
    <row r="29" spans="1:4" ht="13.5" thickBot="1">
      <c r="A29" s="677"/>
      <c r="B29" s="678"/>
      <c r="C29" s="679"/>
      <c r="D29" s="680"/>
    </row>
    <row r="30" spans="1:4" ht="16.5" thickBot="1">
      <c r="A30" s="1261" t="s">
        <v>1503</v>
      </c>
      <c r="B30" s="1262"/>
      <c r="C30" s="1262"/>
      <c r="D30" s="669">
        <f>D7+D20</f>
        <v>114137</v>
      </c>
    </row>
    <row r="31" spans="1:4" ht="15">
      <c r="A31" s="1290" t="s">
        <v>1504</v>
      </c>
      <c r="B31" s="1290"/>
      <c r="C31" s="1290"/>
      <c r="D31" s="774"/>
    </row>
    <row r="32" spans="1:4" ht="12.75">
      <c r="A32" s="14">
        <v>53112</v>
      </c>
      <c r="B32" s="14" t="s">
        <v>1212</v>
      </c>
      <c r="C32" s="8">
        <f>SUM(C33:C34)</f>
        <v>15408549.000000002</v>
      </c>
      <c r="D32" s="15">
        <f>+ROUND(C32,-3)/1000</f>
        <v>15409</v>
      </c>
    </row>
    <row r="33" spans="1:4" ht="12.75">
      <c r="A33" s="468"/>
      <c r="B33" s="670" t="s">
        <v>922</v>
      </c>
      <c r="C33" s="345">
        <f>C7*0.135</f>
        <v>15408549.000000002</v>
      </c>
      <c r="D33" s="459"/>
    </row>
    <row r="34" spans="1:4" ht="13.5" thickBot="1">
      <c r="A34" s="677"/>
      <c r="B34" s="681">
        <v>0.27</v>
      </c>
      <c r="C34" s="679" t="s">
        <v>22</v>
      </c>
      <c r="D34" s="682"/>
    </row>
    <row r="35" spans="1:4" ht="16.5" thickBot="1">
      <c r="A35" s="1261" t="s">
        <v>992</v>
      </c>
      <c r="B35" s="1262"/>
      <c r="C35" s="1262"/>
      <c r="D35" s="449">
        <f>+D32</f>
        <v>15409</v>
      </c>
    </row>
    <row r="36" spans="1:4" ht="15">
      <c r="A36" s="1289" t="s">
        <v>1506</v>
      </c>
      <c r="B36" s="1289"/>
      <c r="C36" s="1289"/>
      <c r="D36" s="775"/>
    </row>
    <row r="37" spans="1:4" ht="12.75">
      <c r="A37" s="568">
        <v>13132</v>
      </c>
      <c r="B37" s="497" t="s">
        <v>19</v>
      </c>
      <c r="C37" s="465">
        <f>G79</f>
        <v>874015.7480314961</v>
      </c>
      <c r="D37" s="572">
        <f aca="true" t="shared" si="2" ref="D37:D42">ROUND(C37,-3)/1000</f>
        <v>874</v>
      </c>
    </row>
    <row r="38" spans="1:4" ht="12.75">
      <c r="A38" s="568">
        <v>54712</v>
      </c>
      <c r="B38" s="497" t="s">
        <v>916</v>
      </c>
      <c r="C38" s="465">
        <f>G78</f>
        <v>1453409.4488188976</v>
      </c>
      <c r="D38" s="572">
        <f t="shared" si="2"/>
        <v>1453</v>
      </c>
    </row>
    <row r="39" spans="1:9" ht="12.75">
      <c r="A39" s="568">
        <v>5481</v>
      </c>
      <c r="B39" s="497" t="s">
        <v>792</v>
      </c>
      <c r="C39" s="465">
        <f>G77</f>
        <v>400823.6220472441</v>
      </c>
      <c r="D39" s="572">
        <f t="shared" si="2"/>
        <v>401</v>
      </c>
      <c r="I39" s="10"/>
    </row>
    <row r="40" spans="1:4" ht="12.75">
      <c r="A40" s="568"/>
      <c r="B40" s="497" t="s">
        <v>203</v>
      </c>
      <c r="C40" s="465">
        <f>G80</f>
        <v>12192874.803149607</v>
      </c>
      <c r="D40" s="572">
        <f t="shared" si="2"/>
        <v>12193</v>
      </c>
    </row>
    <row r="41" spans="1:4" ht="12.75">
      <c r="A41" s="671">
        <v>57219</v>
      </c>
      <c r="B41" s="816" t="s">
        <v>20</v>
      </c>
      <c r="C41" s="1000">
        <f>G82</f>
        <v>212204.72440944883</v>
      </c>
      <c r="D41" s="572">
        <f t="shared" si="2"/>
        <v>212</v>
      </c>
    </row>
    <row r="42" spans="1:9" ht="13.5" thickBot="1">
      <c r="A42" s="671">
        <v>56111</v>
      </c>
      <c r="B42" s="672" t="s">
        <v>1005</v>
      </c>
      <c r="C42" s="1000">
        <f>(C37+C38+C39+C40+C41)*0.27</f>
        <v>4085998.6535433074</v>
      </c>
      <c r="D42" s="572">
        <f t="shared" si="2"/>
        <v>4086</v>
      </c>
      <c r="I42" s="10"/>
    </row>
    <row r="43" spans="1:9" ht="16.5" thickBot="1">
      <c r="A43" s="817" t="s">
        <v>162</v>
      </c>
      <c r="B43" s="818"/>
      <c r="C43" s="1001">
        <f>SUM(C37:C42)</f>
        <v>19219327</v>
      </c>
      <c r="D43" s="999">
        <f>SUM(D37:D42)</f>
        <v>19219</v>
      </c>
      <c r="I43" s="10"/>
    </row>
    <row r="44" spans="1:9" ht="15.75">
      <c r="A44" s="78"/>
      <c r="B44" s="78"/>
      <c r="C44" s="78"/>
      <c r="D44" s="79"/>
      <c r="I44" s="10"/>
    </row>
    <row r="45" spans="1:9" ht="15">
      <c r="A45" s="1279" t="s">
        <v>190</v>
      </c>
      <c r="B45" s="1279"/>
      <c r="C45" s="1279"/>
      <c r="D45" s="773"/>
      <c r="I45" s="10"/>
    </row>
    <row r="46" spans="1:9" ht="15">
      <c r="A46" s="91"/>
      <c r="B46" s="91"/>
      <c r="C46" s="91"/>
      <c r="D46" s="91"/>
      <c r="E46" s="10"/>
      <c r="F46" s="10"/>
      <c r="G46" s="10"/>
      <c r="H46" s="10"/>
      <c r="I46" s="10"/>
    </row>
    <row r="47" spans="1:4" ht="15.75">
      <c r="A47" s="1272" t="s">
        <v>158</v>
      </c>
      <c r="B47" s="1272"/>
      <c r="C47" s="1272"/>
      <c r="D47" s="76"/>
    </row>
    <row r="48" spans="1:4" ht="15">
      <c r="A48" s="91"/>
      <c r="B48" s="91"/>
      <c r="C48" s="91"/>
      <c r="D48" s="91"/>
    </row>
    <row r="49" spans="1:4" ht="15">
      <c r="A49" s="1279" t="s">
        <v>1515</v>
      </c>
      <c r="B49" s="1279"/>
      <c r="C49" s="1279"/>
      <c r="D49" s="773"/>
    </row>
    <row r="50" spans="1:4" ht="15">
      <c r="A50" s="91"/>
      <c r="B50" s="91"/>
      <c r="C50" s="91"/>
      <c r="D50" s="91"/>
    </row>
    <row r="51" spans="1:4" ht="15.75">
      <c r="A51" s="1272" t="s">
        <v>1516</v>
      </c>
      <c r="B51" s="1272"/>
      <c r="C51" s="1272"/>
      <c r="D51" s="76"/>
    </row>
    <row r="52" spans="1:4" ht="15">
      <c r="A52" s="91"/>
      <c r="B52" s="91"/>
      <c r="C52" s="91"/>
      <c r="D52" s="91"/>
    </row>
    <row r="53" spans="1:4" ht="15.75">
      <c r="A53" s="1268" t="s">
        <v>972</v>
      </c>
      <c r="B53" s="1268"/>
      <c r="C53" s="1268"/>
      <c r="D53" s="77">
        <f>+D51+D47+D43+D35+D30</f>
        <v>148765</v>
      </c>
    </row>
    <row r="56" spans="1:4" ht="12.75">
      <c r="A56" s="6"/>
      <c r="B56" s="14" t="s">
        <v>923</v>
      </c>
      <c r="C56" s="6"/>
      <c r="D56" s="6"/>
    </row>
    <row r="57" spans="1:4" ht="12.75">
      <c r="A57" s="6"/>
      <c r="B57" s="6"/>
      <c r="C57" s="6"/>
      <c r="D57" s="6"/>
    </row>
    <row r="58" spans="1:4" ht="12.75">
      <c r="A58" s="6">
        <v>4641221</v>
      </c>
      <c r="B58" s="14" t="s">
        <v>924</v>
      </c>
      <c r="C58" s="35">
        <f>SUM(C59:C61)</f>
        <v>148765276</v>
      </c>
      <c r="D58" s="35">
        <f>ROUND(C58,-3)/1000</f>
        <v>148765</v>
      </c>
    </row>
    <row r="59" spans="1:4" ht="12.75">
      <c r="A59" s="6"/>
      <c r="B59" s="14" t="s">
        <v>21</v>
      </c>
      <c r="C59" s="7">
        <f>C7+C33</f>
        <v>129545949</v>
      </c>
      <c r="D59" s="7">
        <f>+ROUND(C59,-3)/1000</f>
        <v>129546</v>
      </c>
    </row>
    <row r="60" spans="1:4" ht="12.75">
      <c r="A60" s="6"/>
      <c r="B60" s="14" t="s">
        <v>23</v>
      </c>
      <c r="C60" s="7"/>
      <c r="D60" s="7"/>
    </row>
    <row r="61" spans="1:4" ht="12.75">
      <c r="A61" s="6"/>
      <c r="B61" s="14" t="s">
        <v>64</v>
      </c>
      <c r="C61" s="7">
        <f>C43</f>
        <v>19219327</v>
      </c>
      <c r="D61" s="7">
        <f>+ROUND(C61,-3)/1000</f>
        <v>19219</v>
      </c>
    </row>
    <row r="62" spans="1:4" ht="15.75">
      <c r="A62" s="569" t="s">
        <v>164</v>
      </c>
      <c r="B62" s="569"/>
      <c r="C62" s="569"/>
      <c r="D62" s="570">
        <f>+D58</f>
        <v>148765</v>
      </c>
    </row>
    <row r="67" ht="12.75">
      <c r="B67" s="10" t="s">
        <v>12</v>
      </c>
    </row>
    <row r="68" spans="2:3" ht="12.75">
      <c r="B68" t="s">
        <v>11</v>
      </c>
      <c r="C68">
        <v>246786</v>
      </c>
    </row>
    <row r="69" spans="2:3" ht="12.75">
      <c r="B69" t="s">
        <v>13</v>
      </c>
      <c r="C69">
        <v>204000</v>
      </c>
    </row>
    <row r="70" spans="2:3" ht="12.75">
      <c r="B70" t="s">
        <v>14</v>
      </c>
      <c r="C70">
        <v>8837630</v>
      </c>
    </row>
    <row r="72" ht="12.75">
      <c r="B72" s="10" t="s">
        <v>15</v>
      </c>
    </row>
    <row r="73" spans="2:3" ht="12.75">
      <c r="B73" t="s">
        <v>11</v>
      </c>
      <c r="C73">
        <v>15910</v>
      </c>
    </row>
    <row r="74" spans="2:3" ht="12.75">
      <c r="B74" t="s">
        <v>13</v>
      </c>
      <c r="C74">
        <v>9700</v>
      </c>
    </row>
    <row r="75" spans="2:3" ht="12.75">
      <c r="B75" t="s">
        <v>14</v>
      </c>
      <c r="C75">
        <v>200000</v>
      </c>
    </row>
    <row r="77" spans="2:7" ht="12.75">
      <c r="B77" s="10" t="s">
        <v>16</v>
      </c>
      <c r="E77" t="s">
        <v>11</v>
      </c>
      <c r="F77">
        <f>C68+C73+C78+C84+C92+C97</f>
        <v>509046</v>
      </c>
      <c r="G77" s="209">
        <f aca="true" t="shared" si="3" ref="G77:G82">F77/1.27</f>
        <v>400823.6220472441</v>
      </c>
    </row>
    <row r="78" spans="2:7" ht="12.75">
      <c r="B78" t="s">
        <v>11</v>
      </c>
      <c r="C78">
        <v>67610</v>
      </c>
      <c r="E78" t="s">
        <v>13</v>
      </c>
      <c r="F78">
        <f>C69+C74+C79+C85+C93+C98</f>
        <v>1845830</v>
      </c>
      <c r="G78" s="209">
        <f t="shared" si="3"/>
        <v>1453409.4488188976</v>
      </c>
    </row>
    <row r="79" spans="2:7" ht="12.75">
      <c r="B79" t="s">
        <v>13</v>
      </c>
      <c r="C79">
        <v>36250</v>
      </c>
      <c r="E79" t="s">
        <v>860</v>
      </c>
      <c r="F79">
        <f>C80+C86</f>
        <v>1110000</v>
      </c>
      <c r="G79" s="209">
        <f t="shared" si="3"/>
        <v>874015.7480314961</v>
      </c>
    </row>
    <row r="80" spans="2:7" ht="12.75">
      <c r="B80" t="s">
        <v>860</v>
      </c>
      <c r="C80">
        <v>645000</v>
      </c>
      <c r="E80" t="s">
        <v>14</v>
      </c>
      <c r="F80">
        <f>C70+C75+C81+C87+C88+C94+C99</f>
        <v>15484951</v>
      </c>
      <c r="G80" s="209">
        <f t="shared" si="3"/>
        <v>12192874.803149607</v>
      </c>
    </row>
    <row r="81" spans="2:7" ht="12.75">
      <c r="B81" t="s">
        <v>14</v>
      </c>
      <c r="C81">
        <v>1467540</v>
      </c>
      <c r="G81" s="209">
        <f t="shared" si="3"/>
        <v>0</v>
      </c>
    </row>
    <row r="82" spans="5:7" ht="12.75">
      <c r="E82" s="331" t="s">
        <v>89</v>
      </c>
      <c r="F82">
        <f>C89</f>
        <v>269500</v>
      </c>
      <c r="G82" s="209">
        <f t="shared" si="3"/>
        <v>212204.72440944883</v>
      </c>
    </row>
    <row r="83" ht="12.75">
      <c r="B83" s="10" t="s">
        <v>17</v>
      </c>
    </row>
    <row r="84" spans="2:7" ht="12.75">
      <c r="B84" t="s">
        <v>11</v>
      </c>
      <c r="C84">
        <v>11000</v>
      </c>
      <c r="F84">
        <f>SUM(F77:F82)</f>
        <v>19219327</v>
      </c>
      <c r="G84">
        <f>SUM(G77:G82)</f>
        <v>15133328.346456693</v>
      </c>
    </row>
    <row r="85" spans="2:3" ht="12.75">
      <c r="B85" t="s">
        <v>13</v>
      </c>
      <c r="C85">
        <v>1118505</v>
      </c>
    </row>
    <row r="86" spans="2:3" ht="12.75">
      <c r="B86" t="s">
        <v>860</v>
      </c>
      <c r="C86">
        <v>465000</v>
      </c>
    </row>
    <row r="87" spans="2:3" ht="12.75">
      <c r="B87" t="s">
        <v>14</v>
      </c>
      <c r="C87">
        <v>3309361</v>
      </c>
    </row>
    <row r="88" spans="2:3" ht="12.75">
      <c r="B88" t="s">
        <v>14</v>
      </c>
      <c r="C88">
        <v>105100</v>
      </c>
    </row>
    <row r="89" spans="1:3" ht="12.75">
      <c r="A89">
        <v>57219</v>
      </c>
      <c r="B89" s="331" t="s">
        <v>89</v>
      </c>
      <c r="C89">
        <v>269500</v>
      </c>
    </row>
    <row r="91" ht="12.75">
      <c r="B91" s="10" t="s">
        <v>18</v>
      </c>
    </row>
    <row r="92" spans="2:3" ht="12.75">
      <c r="B92" t="s">
        <v>11</v>
      </c>
      <c r="C92">
        <v>159100</v>
      </c>
    </row>
    <row r="93" spans="2:3" ht="12.75">
      <c r="B93" t="s">
        <v>13</v>
      </c>
      <c r="C93">
        <v>208500</v>
      </c>
    </row>
    <row r="94" spans="2:3" ht="12.75">
      <c r="B94" t="s">
        <v>14</v>
      </c>
      <c r="C94">
        <v>475800</v>
      </c>
    </row>
    <row r="96" ht="12.75">
      <c r="B96" s="10" t="s">
        <v>10</v>
      </c>
    </row>
    <row r="97" spans="2:3" ht="12.75">
      <c r="B97" t="s">
        <v>11</v>
      </c>
      <c r="C97">
        <v>8640</v>
      </c>
    </row>
    <row r="98" spans="2:3" ht="12.75">
      <c r="B98" t="s">
        <v>13</v>
      </c>
      <c r="C98">
        <v>268875</v>
      </c>
    </row>
    <row r="99" spans="2:3" ht="12.75">
      <c r="B99" t="s">
        <v>14</v>
      </c>
      <c r="C99">
        <v>1089520</v>
      </c>
    </row>
  </sheetData>
  <sheetProtection/>
  <mergeCells count="11">
    <mergeCell ref="A4:C4"/>
    <mergeCell ref="A5:C5"/>
    <mergeCell ref="A30:C30"/>
    <mergeCell ref="A31:C31"/>
    <mergeCell ref="A53:C53"/>
    <mergeCell ref="A35:C35"/>
    <mergeCell ref="A36:C36"/>
    <mergeCell ref="A45:C45"/>
    <mergeCell ref="A47:C47"/>
    <mergeCell ref="A49:C49"/>
    <mergeCell ref="A51:C51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62" max="255" man="1"/>
  </rowBreaks>
  <colBreaks count="1" manualBreakCount="1">
    <brk id="4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3"/>
  <sheetViews>
    <sheetView view="pageBreakPreview" zoomScaleSheetLayoutView="100" zoomScalePageLayoutView="0" workbookViewId="0" topLeftCell="A7">
      <selection activeCell="E18" sqref="E18"/>
    </sheetView>
  </sheetViews>
  <sheetFormatPr defaultColWidth="9.140625" defaultRowHeight="12.75"/>
  <cols>
    <col min="1" max="1" width="13.7109375" style="91" bestFit="1" customWidth="1"/>
    <col min="2" max="2" width="61.8515625" style="91" bestFit="1" customWidth="1"/>
    <col min="3" max="4" width="13.57421875" style="91" bestFit="1" customWidth="1"/>
    <col min="5" max="5" width="14.140625" style="91" bestFit="1" customWidth="1"/>
    <col min="6" max="6" width="9.8515625" style="91" bestFit="1" customWidth="1"/>
    <col min="7" max="7" width="13.57421875" style="91" bestFit="1" customWidth="1"/>
    <col min="8" max="8" width="10.57421875" style="91" bestFit="1" customWidth="1"/>
    <col min="9" max="16384" width="9.140625" style="91" customWidth="1"/>
  </cols>
  <sheetData>
    <row r="1" ht="24.75" customHeight="1">
      <c r="B1" s="142" t="s">
        <v>137</v>
      </c>
    </row>
    <row r="2" spans="1:3" ht="26.25" customHeight="1">
      <c r="A2" s="348"/>
      <c r="B2" s="349" t="s">
        <v>758</v>
      </c>
      <c r="C2" s="348"/>
    </row>
    <row r="4" spans="1:5" ht="15">
      <c r="A4" s="1278" t="s">
        <v>163</v>
      </c>
      <c r="B4" s="1278"/>
      <c r="C4" s="1278"/>
      <c r="D4" s="1278"/>
      <c r="E4" s="1278"/>
    </row>
    <row r="6" spans="1:5" s="30" customFormat="1" ht="15.75">
      <c r="A6" s="14">
        <v>52211</v>
      </c>
      <c r="B6" s="14" t="s">
        <v>365</v>
      </c>
      <c r="C6" s="14"/>
      <c r="D6" s="14"/>
      <c r="E6" s="14"/>
    </row>
    <row r="7" spans="1:5" ht="15.75">
      <c r="A7" s="1275" t="s">
        <v>366</v>
      </c>
      <c r="B7" s="1292"/>
      <c r="C7" s="1292"/>
      <c r="D7" s="1292"/>
      <c r="E7" s="450">
        <f>E6</f>
        <v>0</v>
      </c>
    </row>
    <row r="8" spans="1:5" s="602" customFormat="1" ht="15.75">
      <c r="A8" s="599"/>
      <c r="B8" s="600"/>
      <c r="C8" s="600"/>
      <c r="D8" s="600"/>
      <c r="E8" s="601"/>
    </row>
    <row r="9" spans="1:5" s="30" customFormat="1" ht="15.75">
      <c r="A9" s="14">
        <v>5331</v>
      </c>
      <c r="B9" s="14" t="s">
        <v>1505</v>
      </c>
      <c r="C9" s="14"/>
      <c r="D9" s="14"/>
      <c r="E9" s="15"/>
    </row>
    <row r="10" spans="1:5" ht="15.75">
      <c r="A10" s="1275" t="s">
        <v>367</v>
      </c>
      <c r="B10" s="1292"/>
      <c r="C10" s="1292"/>
      <c r="D10" s="1292"/>
      <c r="E10" s="450">
        <f>E9</f>
        <v>0</v>
      </c>
    </row>
    <row r="12" spans="1:5" ht="15">
      <c r="A12" s="1279" t="s">
        <v>1506</v>
      </c>
      <c r="B12" s="1279"/>
      <c r="C12" s="1279"/>
      <c r="D12" s="1279"/>
      <c r="E12" s="1279"/>
    </row>
    <row r="13" spans="1:5" ht="15">
      <c r="A13" s="1279" t="s">
        <v>994</v>
      </c>
      <c r="B13" s="1279"/>
      <c r="C13" s="1279"/>
      <c r="D13" s="1279"/>
      <c r="E13" s="1279"/>
    </row>
    <row r="14" spans="3:5" ht="15">
      <c r="C14" s="98"/>
      <c r="D14" s="98"/>
      <c r="E14" s="98"/>
    </row>
    <row r="15" spans="1:6" ht="15">
      <c r="A15" s="14">
        <v>55214</v>
      </c>
      <c r="B15" s="497" t="s">
        <v>1000</v>
      </c>
      <c r="C15" s="15"/>
      <c r="D15" s="15"/>
      <c r="E15" s="15">
        <f>6500+600</f>
        <v>7100</v>
      </c>
      <c r="F15" s="91">
        <v>2400</v>
      </c>
    </row>
    <row r="16" spans="1:5" ht="15">
      <c r="A16" s="14">
        <v>55215</v>
      </c>
      <c r="B16" s="497" t="s">
        <v>131</v>
      </c>
      <c r="C16" s="15"/>
      <c r="D16" s="15"/>
      <c r="E16" s="15">
        <f>800+500</f>
        <v>1300</v>
      </c>
    </row>
    <row r="17" spans="1:5" ht="15">
      <c r="A17" s="14">
        <v>55217</v>
      </c>
      <c r="B17" s="497" t="s">
        <v>1002</v>
      </c>
      <c r="C17" s="15"/>
      <c r="D17" s="15"/>
      <c r="E17" s="15">
        <f>3400+100</f>
        <v>3500</v>
      </c>
    </row>
    <row r="18" spans="1:5" ht="15">
      <c r="A18" s="14">
        <v>55219</v>
      </c>
      <c r="B18" s="497" t="s">
        <v>760</v>
      </c>
      <c r="C18" s="15">
        <f>SUM(C19:C21)</f>
        <v>718006</v>
      </c>
      <c r="D18" s="15"/>
      <c r="E18" s="15">
        <f>ROUND(C18,-3)/1000</f>
        <v>718</v>
      </c>
    </row>
    <row r="19" spans="1:5" ht="15">
      <c r="A19" s="14"/>
      <c r="B19" s="1006" t="s">
        <v>761</v>
      </c>
      <c r="C19" s="15">
        <v>137160</v>
      </c>
      <c r="D19" s="15"/>
      <c r="E19" s="15"/>
    </row>
    <row r="20" spans="1:5" ht="15">
      <c r="A20" s="14"/>
      <c r="B20" s="1006" t="s">
        <v>762</v>
      </c>
      <c r="C20" s="15">
        <v>31945</v>
      </c>
      <c r="D20" s="15"/>
      <c r="E20" s="15"/>
    </row>
    <row r="21" spans="1:5" ht="15">
      <c r="A21" s="14"/>
      <c r="B21" s="1006" t="s">
        <v>763</v>
      </c>
      <c r="C21" s="15">
        <v>548901</v>
      </c>
      <c r="D21" s="15"/>
      <c r="E21" s="15"/>
    </row>
    <row r="22" spans="1:5" ht="15">
      <c r="A22" s="467">
        <v>56111</v>
      </c>
      <c r="B22" s="498" t="s">
        <v>1005</v>
      </c>
      <c r="C22" s="498"/>
      <c r="D22" s="498"/>
      <c r="E22" s="499">
        <f>+(E17+E16+E15+E18)*0.27</f>
        <v>3406.86</v>
      </c>
    </row>
    <row r="23" spans="1:5" ht="15">
      <c r="A23" s="467">
        <v>57219</v>
      </c>
      <c r="B23" s="498" t="s">
        <v>759</v>
      </c>
      <c r="C23" s="499">
        <f>354284</f>
        <v>354284</v>
      </c>
      <c r="D23" s="499">
        <f>SUM(C24:C26)</f>
        <v>0</v>
      </c>
      <c r="E23" s="499">
        <f>+ROUND(C23,-3)/1000</f>
        <v>354</v>
      </c>
    </row>
    <row r="24" spans="1:5" ht="15">
      <c r="A24" s="467"/>
      <c r="B24" s="498" t="s">
        <v>1239</v>
      </c>
      <c r="C24" s="499"/>
      <c r="D24" s="499"/>
      <c r="E24" s="499"/>
    </row>
    <row r="25" spans="1:5" ht="15">
      <c r="A25" s="467"/>
      <c r="B25" s="498" t="s">
        <v>1238</v>
      </c>
      <c r="C25" s="499"/>
      <c r="D25" s="499"/>
      <c r="E25" s="499"/>
    </row>
    <row r="26" spans="1:5" ht="15">
      <c r="A26" s="467"/>
      <c r="B26" s="498" t="s">
        <v>1240</v>
      </c>
      <c r="C26" s="499"/>
      <c r="D26" s="499"/>
      <c r="E26" s="499"/>
    </row>
    <row r="27" spans="1:5" ht="15.75">
      <c r="A27" s="1291" t="s">
        <v>162</v>
      </c>
      <c r="B27" s="1291"/>
      <c r="C27" s="1291"/>
      <c r="D27" s="1291"/>
      <c r="E27" s="108">
        <f>SUM(E15:E26)</f>
        <v>16378.86</v>
      </c>
    </row>
    <row r="28" spans="1:5" ht="15.75">
      <c r="A28" s="1293" t="s">
        <v>972</v>
      </c>
      <c r="B28" s="1293"/>
      <c r="C28" s="1293"/>
      <c r="D28" s="1293"/>
      <c r="E28" s="110">
        <f>E7+E10+E27</f>
        <v>16378.86</v>
      </c>
    </row>
    <row r="29" spans="1:5" ht="15">
      <c r="A29" s="1278" t="s">
        <v>974</v>
      </c>
      <c r="B29" s="1278"/>
      <c r="C29" s="1278"/>
      <c r="D29" s="1278"/>
      <c r="E29" s="1278"/>
    </row>
    <row r="30" spans="1:5" ht="15">
      <c r="A30" s="112"/>
      <c r="B30" s="112"/>
      <c r="C30" s="113"/>
      <c r="D30" s="113"/>
      <c r="E30" s="113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278" t="s">
        <v>975</v>
      </c>
      <c r="B33" s="1278"/>
      <c r="C33" s="1278"/>
      <c r="D33" s="1278"/>
      <c r="E33" s="1278"/>
    </row>
  </sheetData>
  <sheetProtection/>
  <mergeCells count="9">
    <mergeCell ref="A33:E33"/>
    <mergeCell ref="A13:E13"/>
    <mergeCell ref="A27:D27"/>
    <mergeCell ref="A4:E4"/>
    <mergeCell ref="A7:D7"/>
    <mergeCell ref="A10:D10"/>
    <mergeCell ref="A12:E12"/>
    <mergeCell ref="A28:D28"/>
    <mergeCell ref="A29:E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N67"/>
  <sheetViews>
    <sheetView view="pageBreakPreview" zoomScaleSheetLayoutView="100" zoomScalePageLayoutView="0" workbookViewId="0" topLeftCell="A31">
      <selection activeCell="H31" sqref="H31"/>
    </sheetView>
  </sheetViews>
  <sheetFormatPr defaultColWidth="9.140625" defaultRowHeight="12.75"/>
  <cols>
    <col min="1" max="1" width="67.140625" style="0" bestFit="1" customWidth="1"/>
    <col min="2" max="2" width="14.7109375" style="0" customWidth="1"/>
    <col min="3" max="3" width="13.28125" style="0" customWidth="1"/>
  </cols>
  <sheetData>
    <row r="1" spans="2:3" ht="12.75">
      <c r="B1" s="1162" t="s">
        <v>547</v>
      </c>
      <c r="C1" s="1162"/>
    </row>
    <row r="3" spans="1:14" ht="12.75">
      <c r="A3" s="1156" t="s">
        <v>1518</v>
      </c>
      <c r="B3" s="1156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5" spans="1:3" ht="34.5" customHeight="1">
      <c r="A5" s="1163" t="s">
        <v>885</v>
      </c>
      <c r="B5" s="1163"/>
      <c r="C5" s="1163"/>
    </row>
    <row r="7" spans="2:3" ht="12.75">
      <c r="B7" s="1162" t="s">
        <v>161</v>
      </c>
      <c r="C7" s="1162"/>
    </row>
    <row r="8" spans="1:3" s="10" customFormat="1" ht="26.25" customHeight="1">
      <c r="A8" s="53" t="s">
        <v>1037</v>
      </c>
      <c r="B8" s="17" t="s">
        <v>160</v>
      </c>
      <c r="C8" s="17" t="s">
        <v>443</v>
      </c>
    </row>
    <row r="9" spans="1:3" s="10" customFormat="1" ht="12.75">
      <c r="A9" s="46" t="s">
        <v>517</v>
      </c>
      <c r="B9" s="49">
        <f>SUM(B10:B14)-1</f>
        <v>937399.5519999999</v>
      </c>
      <c r="C9" s="49">
        <f>SUM(C10:C14)-1</f>
        <v>947273.5519999999</v>
      </c>
    </row>
    <row r="10" spans="1:3" s="10" customFormat="1" ht="12.75">
      <c r="A10" s="275" t="s">
        <v>518</v>
      </c>
      <c r="B10" s="15">
        <f>+2bm!B20</f>
        <v>357500</v>
      </c>
      <c r="C10" s="15">
        <f>+2bm!C20</f>
        <v>362106</v>
      </c>
    </row>
    <row r="11" spans="1:3" s="10" customFormat="1" ht="12.75">
      <c r="A11" s="275" t="s">
        <v>519</v>
      </c>
      <c r="B11" s="15">
        <f>+2bm!D20</f>
        <v>78876.09</v>
      </c>
      <c r="C11" s="15">
        <f>+2bm!E20</f>
        <v>80108.09</v>
      </c>
    </row>
    <row r="12" spans="1:3" s="10" customFormat="1" ht="12.75">
      <c r="A12" s="275" t="s">
        <v>521</v>
      </c>
      <c r="B12" s="15">
        <f>+2bm!F20</f>
        <v>276729.462</v>
      </c>
      <c r="C12" s="15">
        <f>+2bm!G20</f>
        <v>291377.462</v>
      </c>
    </row>
    <row r="13" spans="1:3" s="10" customFormat="1" ht="12.75">
      <c r="A13" s="275" t="s">
        <v>520</v>
      </c>
      <c r="B13" s="15">
        <f>+2bm!H20</f>
        <v>122342</v>
      </c>
      <c r="C13" s="15">
        <f>+2bm!I20</f>
        <v>122342</v>
      </c>
    </row>
    <row r="14" spans="1:3" s="10" customFormat="1" ht="12.75">
      <c r="A14" s="275" t="s">
        <v>522</v>
      </c>
      <c r="B14" s="15">
        <f>SUM(B15:B18)</f>
        <v>101953</v>
      </c>
      <c r="C14" s="15">
        <f>SUM(C15:C18)</f>
        <v>91341</v>
      </c>
    </row>
    <row r="15" spans="1:3" s="10" customFormat="1" ht="12.75">
      <c r="A15" s="313" t="s">
        <v>523</v>
      </c>
      <c r="B15" s="15">
        <f>SUM(2bm!J20)</f>
        <v>12342</v>
      </c>
      <c r="C15" s="15">
        <f>SUM(2bm!K20)</f>
        <v>8402</v>
      </c>
    </row>
    <row r="16" spans="1:3" s="10" customFormat="1" ht="12.75">
      <c r="A16" s="313" t="s">
        <v>524</v>
      </c>
      <c r="B16" s="15">
        <f>SUM(2bm!L20)</f>
        <v>89611</v>
      </c>
      <c r="C16" s="15">
        <f>SUM(2bm!M20)</f>
        <v>82939</v>
      </c>
    </row>
    <row r="17" spans="1:3" s="10" customFormat="1" ht="12.75">
      <c r="A17" s="313" t="s">
        <v>525</v>
      </c>
      <c r="B17" s="15">
        <v>0</v>
      </c>
      <c r="C17" s="15">
        <v>0</v>
      </c>
    </row>
    <row r="18" spans="1:3" s="10" customFormat="1" ht="12.75">
      <c r="A18" s="313" t="s">
        <v>526</v>
      </c>
      <c r="B18" s="15">
        <v>0</v>
      </c>
      <c r="C18" s="15">
        <v>0</v>
      </c>
    </row>
    <row r="19" spans="1:3" s="10" customFormat="1" ht="12.75">
      <c r="A19" s="46" t="s">
        <v>527</v>
      </c>
      <c r="B19" s="35">
        <v>0</v>
      </c>
      <c r="C19" s="35">
        <v>0</v>
      </c>
    </row>
    <row r="20" spans="1:3" s="10" customFormat="1" ht="12.75">
      <c r="A20" s="10" t="s">
        <v>536</v>
      </c>
      <c r="B20" s="35">
        <f>+B21</f>
        <v>213346.15594000003</v>
      </c>
      <c r="C20" s="35">
        <f>+C21</f>
        <v>213346.15594000003</v>
      </c>
    </row>
    <row r="21" spans="1:3" s="10" customFormat="1" ht="12.75">
      <c r="A21" s="1073" t="s">
        <v>529</v>
      </c>
      <c r="B21" s="18">
        <f>+2am!N20</f>
        <v>213346.15594000003</v>
      </c>
      <c r="C21" s="18">
        <f>+2am!O20</f>
        <v>213346.15594000003</v>
      </c>
    </row>
    <row r="22" spans="1:3" s="10" customFormat="1" ht="12.75">
      <c r="A22" s="46" t="s">
        <v>537</v>
      </c>
      <c r="B22" s="35">
        <f>SUM(B23:B24)</f>
        <v>200</v>
      </c>
      <c r="C22" s="35">
        <f>SUM(C23:C24)</f>
        <v>200</v>
      </c>
    </row>
    <row r="23" spans="1:3" s="10" customFormat="1" ht="12.75">
      <c r="A23" s="150" t="s">
        <v>449</v>
      </c>
      <c r="B23" s="7">
        <f>5m!B15</f>
        <v>100</v>
      </c>
      <c r="C23" s="7">
        <f>B23</f>
        <v>100</v>
      </c>
    </row>
    <row r="24" spans="1:3" s="10" customFormat="1" ht="12.75">
      <c r="A24" s="150" t="s">
        <v>1134</v>
      </c>
      <c r="B24" s="7">
        <f>5m!B19</f>
        <v>100</v>
      </c>
      <c r="C24" s="7">
        <f>B24</f>
        <v>100</v>
      </c>
    </row>
    <row r="25" spans="1:3" s="10" customFormat="1" ht="15.75">
      <c r="A25" s="153" t="s">
        <v>972</v>
      </c>
      <c r="B25" s="155">
        <f>+B9+B19+B20+B22</f>
        <v>1150945.7079399999</v>
      </c>
      <c r="C25" s="155">
        <f>+C9+C19+C20+C22</f>
        <v>1160819.7079399999</v>
      </c>
    </row>
    <row r="26" spans="1:3" s="10" customFormat="1" ht="12.75">
      <c r="A26" s="674"/>
      <c r="B26" s="750"/>
      <c r="C26" s="1359"/>
    </row>
    <row r="27" spans="1:3" s="10" customFormat="1" ht="12.75">
      <c r="A27" s="674"/>
      <c r="B27" s="750"/>
      <c r="C27" s="1360"/>
    </row>
    <row r="28" spans="1:3" ht="12.75">
      <c r="A28" s="12" t="s">
        <v>1294</v>
      </c>
      <c r="B28" s="49">
        <f>+1bm!B22</f>
        <v>79401</v>
      </c>
      <c r="C28" s="49">
        <f>+1bm!C22</f>
        <v>84887</v>
      </c>
    </row>
    <row r="29" spans="1:3" ht="12.75">
      <c r="A29" s="12" t="s">
        <v>444</v>
      </c>
      <c r="B29" s="49">
        <f>+B30+B31+B32+B35</f>
        <v>124600</v>
      </c>
      <c r="C29" s="49">
        <f>+C30+C31+C32+C35</f>
        <v>124600</v>
      </c>
    </row>
    <row r="30" spans="1:3" ht="12.75">
      <c r="A30" s="275" t="s">
        <v>1295</v>
      </c>
      <c r="B30" s="18">
        <v>0</v>
      </c>
      <c r="C30" s="18">
        <v>0</v>
      </c>
    </row>
    <row r="31" spans="1:3" ht="12.75">
      <c r="A31" s="275" t="s">
        <v>1296</v>
      </c>
      <c r="B31" s="40">
        <f>1am!D22</f>
        <v>102000</v>
      </c>
      <c r="C31" s="40">
        <f>1am!E22</f>
        <v>102000</v>
      </c>
    </row>
    <row r="32" spans="1:3" ht="12.75">
      <c r="A32" s="275" t="s">
        <v>1297</v>
      </c>
      <c r="B32" s="40">
        <f>+B33+B34</f>
        <v>12900</v>
      </c>
      <c r="C32" s="40">
        <f>+C33+C34</f>
        <v>12900</v>
      </c>
    </row>
    <row r="33" spans="1:7" s="747" customFormat="1" ht="12.75">
      <c r="A33" s="751" t="s">
        <v>1466</v>
      </c>
      <c r="B33" s="752">
        <f>1am!D23</f>
        <v>100</v>
      </c>
      <c r="C33" s="752">
        <f>1am!E23</f>
        <v>100</v>
      </c>
      <c r="D33" s="23"/>
      <c r="E33" s="23"/>
      <c r="F33" s="23"/>
      <c r="G33" s="23"/>
    </row>
    <row r="34" spans="1:3" ht="12.75">
      <c r="A34" s="748" t="s">
        <v>1298</v>
      </c>
      <c r="B34" s="40">
        <f>1am!D24</f>
        <v>12800</v>
      </c>
      <c r="C34" s="40">
        <f>1am!E24</f>
        <v>12800</v>
      </c>
    </row>
    <row r="35" spans="1:3" ht="12.75">
      <c r="A35" s="321" t="s">
        <v>1299</v>
      </c>
      <c r="B35" s="40">
        <f>+B36+B37+B38</f>
        <v>9700</v>
      </c>
      <c r="C35" s="40">
        <f>+C36+C37+C38</f>
        <v>9700</v>
      </c>
    </row>
    <row r="36" spans="1:3" ht="12.75">
      <c r="A36" s="748" t="s">
        <v>1300</v>
      </c>
      <c r="B36" s="40">
        <f>1am!D17</f>
        <v>0</v>
      </c>
      <c r="C36" s="40">
        <f>1am!E17</f>
        <v>0</v>
      </c>
    </row>
    <row r="37" spans="1:3" ht="12.75">
      <c r="A37" s="748" t="s">
        <v>1301</v>
      </c>
      <c r="B37" s="40">
        <f>1am!D25</f>
        <v>700</v>
      </c>
      <c r="C37" s="40">
        <f>1am!E25</f>
        <v>700</v>
      </c>
    </row>
    <row r="38" spans="1:3" ht="12.75">
      <c r="A38" s="748" t="s">
        <v>1302</v>
      </c>
      <c r="B38" s="40">
        <f>1am!D27</f>
        <v>9000</v>
      </c>
      <c r="C38" s="40">
        <f>1am!E27</f>
        <v>9000</v>
      </c>
    </row>
    <row r="39" spans="1:3" ht="12.75">
      <c r="A39" s="46" t="s">
        <v>528</v>
      </c>
      <c r="B39" s="49">
        <f>SUM(B40:B45)</f>
        <v>651100.493564</v>
      </c>
      <c r="C39" s="49">
        <f>SUM(C40:C45)</f>
        <v>655488.493564</v>
      </c>
    </row>
    <row r="40" spans="1:3" ht="12.75">
      <c r="A40" s="275" t="s">
        <v>446</v>
      </c>
      <c r="B40" s="18">
        <f>1am!F28+1am!F29+1am!F30+1am!F31</f>
        <v>410766</v>
      </c>
      <c r="C40" s="18">
        <f>1am!G28+1am!G29+1am!G30+1am!G31</f>
        <v>410766</v>
      </c>
    </row>
    <row r="41" spans="1:3" ht="12.75">
      <c r="A41" s="275" t="s">
        <v>1303</v>
      </c>
      <c r="B41" s="18">
        <v>0</v>
      </c>
      <c r="C41" s="18">
        <v>0</v>
      </c>
    </row>
    <row r="42" spans="1:3" ht="12.75">
      <c r="A42" s="275" t="s">
        <v>1304</v>
      </c>
      <c r="B42" s="18">
        <v>0</v>
      </c>
      <c r="C42" s="18">
        <v>0</v>
      </c>
    </row>
    <row r="43" spans="1:3" ht="25.5">
      <c r="A43" s="749" t="s">
        <v>1305</v>
      </c>
      <c r="B43" s="626">
        <v>0</v>
      </c>
      <c r="C43" s="626">
        <v>0</v>
      </c>
    </row>
    <row r="44" spans="1:3" ht="13.5" customHeight="1">
      <c r="A44" s="1073" t="s">
        <v>1463</v>
      </c>
      <c r="B44" s="18">
        <f>1am!F35</f>
        <v>107534.49356400002</v>
      </c>
      <c r="C44" s="18">
        <f>1am!G35</f>
        <v>107534.49356400002</v>
      </c>
    </row>
    <row r="45" spans="1:3" ht="27" customHeight="1">
      <c r="A45" s="699" t="s">
        <v>1329</v>
      </c>
      <c r="B45" s="18">
        <f>1am!F34</f>
        <v>132800</v>
      </c>
      <c r="C45" s="18">
        <f>1am!G34</f>
        <v>137188</v>
      </c>
    </row>
    <row r="46" spans="1:3" ht="12.75">
      <c r="A46" s="46" t="s">
        <v>512</v>
      </c>
      <c r="B46" s="49">
        <f>SUM(B47:B50)</f>
        <v>234588</v>
      </c>
      <c r="C46" s="49">
        <f>SUM(C47:C50)</f>
        <v>234588</v>
      </c>
    </row>
    <row r="47" spans="1:3" ht="12.75">
      <c r="A47" s="1073" t="s">
        <v>513</v>
      </c>
      <c r="B47" s="555">
        <f>1bm!H22</f>
        <v>232599</v>
      </c>
      <c r="C47" s="555">
        <f>1bm!I22</f>
        <v>232599</v>
      </c>
    </row>
    <row r="48" spans="1:3" ht="12.75">
      <c r="A48" s="275" t="s">
        <v>514</v>
      </c>
      <c r="B48" s="18">
        <f>1am!J44</f>
        <v>1989</v>
      </c>
      <c r="C48" s="18">
        <f>1am!K44</f>
        <v>1989</v>
      </c>
    </row>
    <row r="49" spans="1:3" ht="12.75">
      <c r="A49" s="749" t="s">
        <v>515</v>
      </c>
      <c r="B49" s="18">
        <v>0</v>
      </c>
      <c r="C49" s="18">
        <v>0</v>
      </c>
    </row>
    <row r="50" spans="1:3" ht="12.75">
      <c r="A50" s="749" t="s">
        <v>516</v>
      </c>
      <c r="B50" s="18">
        <v>0</v>
      </c>
      <c r="C50" s="18">
        <v>0</v>
      </c>
    </row>
    <row r="51" spans="1:3" ht="12.75">
      <c r="A51" s="12" t="s">
        <v>489</v>
      </c>
      <c r="B51" s="49">
        <f>B52+B53</f>
        <v>61257</v>
      </c>
      <c r="C51" s="49">
        <f>C52+C53</f>
        <v>61257</v>
      </c>
    </row>
    <row r="52" spans="1:3" ht="25.5">
      <c r="A52" s="712" t="s">
        <v>490</v>
      </c>
      <c r="B52" s="18">
        <f>pénzmaradvány!B6+pénzmaradvány!B4+pénzmaradvány!B5+pénzmaradvány!B9</f>
        <v>61257</v>
      </c>
      <c r="C52" s="18">
        <f>B52</f>
        <v>61257</v>
      </c>
    </row>
    <row r="53" spans="1:3" ht="0.75" customHeight="1">
      <c r="A53" s="712" t="s">
        <v>491</v>
      </c>
      <c r="B53" s="18"/>
      <c r="C53" s="1072"/>
    </row>
    <row r="54" spans="1:4" ht="21" customHeight="1">
      <c r="A54" s="153" t="s">
        <v>973</v>
      </c>
      <c r="B54" s="155">
        <f>+B28+B29+B39+B46+B51</f>
        <v>1150946.493564</v>
      </c>
      <c r="C54" s="155">
        <f>+C28+C29+C39+C46+C51</f>
        <v>1160820.493564</v>
      </c>
      <c r="D54" s="8"/>
    </row>
    <row r="55" spans="1:3" ht="12.75">
      <c r="A55" s="1123"/>
      <c r="B55" s="1123"/>
      <c r="C55" s="1123"/>
    </row>
    <row r="56" ht="12.75">
      <c r="C56" s="515">
        <f>SUM(C57:C63)</f>
        <v>0</v>
      </c>
    </row>
    <row r="57" ht="12.75">
      <c r="C57" s="43"/>
    </row>
    <row r="58" spans="3:5" ht="12.75">
      <c r="C58" s="43"/>
      <c r="D58" s="8"/>
      <c r="E58" s="8"/>
    </row>
    <row r="59" ht="12.75">
      <c r="C59" s="43"/>
    </row>
    <row r="60" ht="12.75">
      <c r="C60" s="43"/>
    </row>
    <row r="61" ht="12.75">
      <c r="C61" s="43"/>
    </row>
    <row r="62" spans="3:5" ht="12.75">
      <c r="C62" s="43"/>
      <c r="D62" s="8"/>
      <c r="E62" s="8"/>
    </row>
    <row r="63" spans="3:5" ht="12.75">
      <c r="C63" s="7"/>
      <c r="E63" s="8"/>
    </row>
    <row r="64" ht="12.75">
      <c r="C64" s="35">
        <f>SUM(C65:C66)</f>
        <v>0</v>
      </c>
    </row>
    <row r="65" ht="12.75">
      <c r="C65" s="7"/>
    </row>
    <row r="66" spans="3:4" ht="12.75">
      <c r="C66" s="7"/>
      <c r="D66" s="337"/>
    </row>
    <row r="67" spans="3:5" ht="15.75">
      <c r="C67" s="155">
        <f>+C64+C56</f>
        <v>0</v>
      </c>
      <c r="D67" s="8"/>
      <c r="E67" s="8"/>
    </row>
  </sheetData>
  <sheetProtection/>
  <mergeCells count="5">
    <mergeCell ref="A55:C55"/>
    <mergeCell ref="B7:C7"/>
    <mergeCell ref="B1:C1"/>
    <mergeCell ref="A5:C5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rowBreaks count="1" manualBreakCount="1">
    <brk id="54" max="1" man="1"/>
  </rowBreaks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E47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9.57421875" style="0" customWidth="1"/>
    <col min="2" max="2" width="43.57421875" style="0" customWidth="1"/>
    <col min="3" max="3" width="10.28125" style="0" customWidth="1"/>
    <col min="4" max="4" width="12.421875" style="0" customWidth="1"/>
  </cols>
  <sheetData>
    <row r="1" spans="2:4" ht="12.75">
      <c r="B1" s="1273" t="s">
        <v>174</v>
      </c>
      <c r="C1" s="1274"/>
      <c r="D1" s="1274"/>
    </row>
    <row r="2" spans="2:4" ht="21.75" customHeight="1">
      <c r="B2" s="1294" t="s">
        <v>457</v>
      </c>
      <c r="C2" s="1294"/>
      <c r="D2" s="1294"/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/>
      <c r="B5" s="1129"/>
      <c r="C5" s="1129"/>
      <c r="D5" s="1129"/>
      <c r="E5" s="1129"/>
    </row>
    <row r="6" spans="1:5" ht="12.75">
      <c r="A6" s="1129"/>
      <c r="B6" s="1129"/>
      <c r="C6" s="1129"/>
      <c r="D6" s="1129"/>
      <c r="E6" s="1129"/>
    </row>
    <row r="7" spans="1:5" ht="12.75">
      <c r="A7" s="1129"/>
      <c r="B7" s="1129"/>
      <c r="C7" s="1129"/>
      <c r="D7" s="1129"/>
      <c r="E7" s="1129"/>
    </row>
    <row r="8" spans="1:5" ht="12.75">
      <c r="A8" s="41"/>
      <c r="C8" s="8"/>
      <c r="D8" s="286"/>
      <c r="E8" s="286"/>
    </row>
    <row r="9" spans="1:5" ht="12.75">
      <c r="A9" s="41"/>
      <c r="C9" s="8"/>
      <c r="D9" s="8"/>
      <c r="E9" s="8"/>
    </row>
    <row r="10" spans="1:5" ht="12.75">
      <c r="A10" s="25"/>
      <c r="B10" s="13"/>
      <c r="C10" s="33"/>
      <c r="D10" s="25"/>
      <c r="E10" s="25"/>
    </row>
    <row r="11" spans="1:5" ht="12.75">
      <c r="A11" s="65"/>
      <c r="B11" s="273"/>
      <c r="C11" s="274"/>
      <c r="D11" s="274"/>
      <c r="E11" s="56"/>
    </row>
    <row r="12" spans="1:5" ht="15.75">
      <c r="A12" s="1275"/>
      <c r="B12" s="1275"/>
      <c r="C12" s="1275"/>
      <c r="D12" s="1275"/>
      <c r="E12" s="448"/>
    </row>
    <row r="13" spans="1:5" ht="15.75">
      <c r="A13" s="92"/>
      <c r="B13" s="37"/>
      <c r="C13" s="6"/>
      <c r="D13" s="43"/>
      <c r="E13" s="35"/>
    </row>
    <row r="14" spans="1:5" ht="15.75">
      <c r="A14" s="1275" t="s">
        <v>992</v>
      </c>
      <c r="B14" s="1275"/>
      <c r="C14" s="1275"/>
      <c r="D14" s="1275"/>
      <c r="E14" s="448">
        <f>+E13</f>
        <v>0</v>
      </c>
    </row>
    <row r="15" spans="1:5" ht="12.75">
      <c r="A15" s="1011">
        <v>5491</v>
      </c>
      <c r="B15" s="266" t="s">
        <v>996</v>
      </c>
      <c r="C15" s="1011"/>
      <c r="D15" s="1011"/>
      <c r="E15" s="555"/>
    </row>
    <row r="16" spans="1:5" ht="12.75">
      <c r="A16" s="1011"/>
      <c r="B16" s="1006" t="s">
        <v>770</v>
      </c>
      <c r="C16" s="1011"/>
      <c r="D16" s="1011"/>
      <c r="E16" s="87">
        <v>136</v>
      </c>
    </row>
    <row r="17" spans="1:5" ht="12.75">
      <c r="A17" s="14">
        <v>55214</v>
      </c>
      <c r="B17" s="497" t="s">
        <v>1000</v>
      </c>
      <c r="C17" s="266"/>
      <c r="D17" s="266"/>
      <c r="E17" s="49">
        <v>396</v>
      </c>
    </row>
    <row r="18" spans="1:5" ht="12.75">
      <c r="A18" s="14">
        <v>55215</v>
      </c>
      <c r="B18" s="497" t="s">
        <v>1001</v>
      </c>
      <c r="C18" s="266"/>
      <c r="D18" s="266"/>
      <c r="E18" s="49">
        <v>650</v>
      </c>
    </row>
    <row r="19" spans="1:5" ht="12.75">
      <c r="A19" s="14">
        <v>55217</v>
      </c>
      <c r="B19" s="497" t="s">
        <v>1002</v>
      </c>
      <c r="C19" s="266"/>
      <c r="D19" s="266"/>
      <c r="E19" s="49">
        <v>629</v>
      </c>
    </row>
    <row r="20" spans="1:5" ht="12.75">
      <c r="A20" s="14">
        <v>55218</v>
      </c>
      <c r="B20" s="497" t="s">
        <v>1187</v>
      </c>
      <c r="C20" s="266"/>
      <c r="D20" s="266"/>
      <c r="E20" s="49">
        <f>E21+E22</f>
        <v>1730</v>
      </c>
    </row>
    <row r="21" spans="1:5" ht="12.75">
      <c r="A21" s="14"/>
      <c r="B21" s="1006" t="s">
        <v>774</v>
      </c>
      <c r="C21" s="266"/>
      <c r="D21" s="266"/>
      <c r="E21" s="18">
        <v>1600</v>
      </c>
    </row>
    <row r="22" spans="1:5" ht="12.75">
      <c r="A22" s="14"/>
      <c r="B22" s="1006" t="s">
        <v>775</v>
      </c>
      <c r="C22" s="266"/>
      <c r="D22" s="266"/>
      <c r="E22" s="18">
        <v>130</v>
      </c>
    </row>
    <row r="23" spans="1:5" ht="12.75">
      <c r="A23" s="14">
        <v>55219</v>
      </c>
      <c r="B23" s="497" t="s">
        <v>760</v>
      </c>
      <c r="C23" s="266"/>
      <c r="D23" s="266"/>
      <c r="E23" s="49">
        <f>E24+E25+E26+E27+E28+E29</f>
        <v>891</v>
      </c>
    </row>
    <row r="24" spans="1:5" ht="12.75">
      <c r="A24" s="14"/>
      <c r="B24" s="1006" t="s">
        <v>773</v>
      </c>
      <c r="C24" s="1009"/>
      <c r="D24" s="1009"/>
      <c r="E24" s="1010">
        <v>190</v>
      </c>
    </row>
    <row r="25" spans="1:5" ht="12.75">
      <c r="A25" s="14"/>
      <c r="B25" s="1006" t="s">
        <v>762</v>
      </c>
      <c r="C25" s="619"/>
      <c r="D25" s="616"/>
      <c r="E25" s="617">
        <v>3</v>
      </c>
    </row>
    <row r="26" spans="1:5" ht="12.75">
      <c r="A26" s="14"/>
      <c r="B26" s="1006" t="s">
        <v>763</v>
      </c>
      <c r="C26" s="618"/>
      <c r="D26" s="616"/>
      <c r="E26" s="617">
        <v>121</v>
      </c>
    </row>
    <row r="27" spans="1:5" ht="12.75">
      <c r="A27" s="14"/>
      <c r="B27" s="1006" t="s">
        <v>771</v>
      </c>
      <c r="C27" s="618"/>
      <c r="D27" s="616"/>
      <c r="E27" s="617">
        <v>37</v>
      </c>
    </row>
    <row r="28" spans="1:5" ht="12.75">
      <c r="A28" s="618"/>
      <c r="B28" s="616" t="s">
        <v>917</v>
      </c>
      <c r="C28" s="619">
        <v>426486</v>
      </c>
      <c r="D28" s="1013" t="s">
        <v>777</v>
      </c>
      <c r="E28" s="617"/>
    </row>
    <row r="29" spans="1:5" ht="12.75">
      <c r="A29" s="618"/>
      <c r="B29" s="616" t="s">
        <v>768</v>
      </c>
      <c r="C29" s="619"/>
      <c r="D29" s="616"/>
      <c r="E29" s="617">
        <v>540</v>
      </c>
    </row>
    <row r="30" spans="1:5" ht="12.75">
      <c r="A30" s="618"/>
      <c r="B30" s="1006"/>
      <c r="C30" s="619"/>
      <c r="D30" s="616"/>
      <c r="E30" s="617"/>
    </row>
    <row r="31" spans="1:5" ht="12.75">
      <c r="A31" s="467">
        <v>5611</v>
      </c>
      <c r="B31" s="497" t="s">
        <v>139</v>
      </c>
      <c r="C31" s="572"/>
      <c r="D31" s="453"/>
      <c r="E31" s="617">
        <f>(E16+E17+E18+E19+E20+E23+E32+E34)*0.27</f>
        <v>1595.97</v>
      </c>
    </row>
    <row r="32" spans="1:5" ht="12.75">
      <c r="A32" s="467">
        <v>5631</v>
      </c>
      <c r="B32" s="497" t="s">
        <v>392</v>
      </c>
      <c r="C32" s="572"/>
      <c r="D32" s="453"/>
      <c r="E32" s="1012">
        <f>E33</f>
        <v>1219</v>
      </c>
    </row>
    <row r="33" spans="1:5" ht="12.75">
      <c r="A33" s="467"/>
      <c r="B33" s="497" t="s">
        <v>772</v>
      </c>
      <c r="C33" s="572">
        <f>101600*12</f>
        <v>1219200</v>
      </c>
      <c r="D33" s="453"/>
      <c r="E33" s="617">
        <f>+ROUND(C33,-3)/1000</f>
        <v>1219</v>
      </c>
    </row>
    <row r="34" spans="1:5" ht="12.75">
      <c r="A34" s="331">
        <v>57219</v>
      </c>
      <c r="B34" s="331" t="s">
        <v>89</v>
      </c>
      <c r="C34" s="53"/>
      <c r="D34" s="453"/>
      <c r="E34" s="1012">
        <f>E35+E36</f>
        <v>260</v>
      </c>
    </row>
    <row r="35" spans="1:5" ht="12.75">
      <c r="A35" s="331"/>
      <c r="B35" s="331" t="s">
        <v>769</v>
      </c>
      <c r="C35" s="53"/>
      <c r="D35" s="453"/>
      <c r="E35" s="617">
        <v>160</v>
      </c>
    </row>
    <row r="36" spans="1:5" ht="12.75">
      <c r="A36" s="331"/>
      <c r="B36" s="331" t="s">
        <v>776</v>
      </c>
      <c r="C36" s="53"/>
      <c r="D36" s="453"/>
      <c r="E36" s="617">
        <v>100</v>
      </c>
    </row>
    <row r="37" spans="1:5" ht="15.75">
      <c r="A37" s="1275" t="s">
        <v>162</v>
      </c>
      <c r="B37" s="1275"/>
      <c r="C37" s="1275"/>
      <c r="D37" s="1275"/>
      <c r="E37" s="567">
        <f>E16+E17+E18+E19+E20+E23+E31+E32+E34</f>
        <v>7506.97</v>
      </c>
    </row>
    <row r="38" spans="1:5" ht="15.75">
      <c r="A38" s="1275"/>
      <c r="B38" s="1275"/>
      <c r="C38" s="1275"/>
      <c r="D38" s="1275"/>
      <c r="E38" s="567"/>
    </row>
    <row r="39" spans="1:5" ht="12.75">
      <c r="A39" s="1129" t="s">
        <v>190</v>
      </c>
      <c r="B39" s="1129"/>
      <c r="C39" s="1129"/>
      <c r="D39" s="1129"/>
      <c r="E39" s="1129"/>
    </row>
    <row r="41" spans="1:5" ht="15.75">
      <c r="A41" s="1272" t="s">
        <v>158</v>
      </c>
      <c r="B41" s="1272"/>
      <c r="C41" s="1272"/>
      <c r="D41" s="1272"/>
      <c r="E41" s="76"/>
    </row>
    <row r="43" spans="1:5" ht="12.75">
      <c r="A43" s="1129" t="s">
        <v>1515</v>
      </c>
      <c r="B43" s="1129"/>
      <c r="C43" s="1129"/>
      <c r="D43" s="1129"/>
      <c r="E43" s="1129"/>
    </row>
    <row r="45" spans="1:5" ht="15.75">
      <c r="A45" s="1272" t="s">
        <v>1516</v>
      </c>
      <c r="B45" s="1272"/>
      <c r="C45" s="1272"/>
      <c r="D45" s="1272"/>
      <c r="E45" s="76"/>
    </row>
    <row r="47" spans="1:5" ht="15.75">
      <c r="A47" s="1268" t="s">
        <v>972</v>
      </c>
      <c r="B47" s="1268"/>
      <c r="C47" s="1268"/>
      <c r="D47" s="1268"/>
      <c r="E47" s="77">
        <f>+E45+E41+E37+E14+E12</f>
        <v>7506.97</v>
      </c>
    </row>
  </sheetData>
  <sheetProtection/>
  <mergeCells count="15">
    <mergeCell ref="A7:E7"/>
    <mergeCell ref="B1:D1"/>
    <mergeCell ref="B2:D2"/>
    <mergeCell ref="A4:E4"/>
    <mergeCell ref="A5:E5"/>
    <mergeCell ref="A6:E6"/>
    <mergeCell ref="A45:D45"/>
    <mergeCell ref="A47:D47"/>
    <mergeCell ref="A12:D12"/>
    <mergeCell ref="A14:D14"/>
    <mergeCell ref="A37:D37"/>
    <mergeCell ref="A39:E39"/>
    <mergeCell ref="A41:D41"/>
    <mergeCell ref="A43:E43"/>
    <mergeCell ref="A38:D3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/>
  </sheetPr>
  <dimension ref="A1:F29"/>
  <sheetViews>
    <sheetView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13.57421875" style="0" bestFit="1" customWidth="1"/>
    <col min="2" max="2" width="58.421875" style="0" bestFit="1" customWidth="1"/>
    <col min="3" max="5" width="13.57421875" style="0" bestFit="1" customWidth="1"/>
    <col min="6" max="6" width="10.421875" style="0" bestFit="1" customWidth="1"/>
  </cols>
  <sheetData>
    <row r="1" spans="1:5" ht="25.5" customHeight="1">
      <c r="A1" s="1296" t="s">
        <v>130</v>
      </c>
      <c r="B1" s="1296"/>
      <c r="C1" s="1296"/>
      <c r="D1" s="1296"/>
      <c r="E1" s="1296"/>
    </row>
    <row r="2" spans="1:5" ht="21.75" customHeight="1">
      <c r="A2" s="1295" t="s">
        <v>381</v>
      </c>
      <c r="B2" s="1295"/>
      <c r="C2" s="1295"/>
      <c r="D2" s="1295"/>
      <c r="E2" s="1295"/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 t="s">
        <v>1499</v>
      </c>
      <c r="B5" s="1129"/>
      <c r="C5" s="1129"/>
      <c r="D5" s="1129"/>
      <c r="E5" s="1129"/>
    </row>
    <row r="6" spans="1:5" ht="13.5" thickBot="1">
      <c r="A6" s="475"/>
      <c r="B6" s="475"/>
      <c r="C6" s="458"/>
      <c r="D6" s="458"/>
      <c r="E6" s="458"/>
    </row>
    <row r="7" spans="1:5" ht="16.5" thickBot="1">
      <c r="A7" s="1261" t="s">
        <v>1503</v>
      </c>
      <c r="B7" s="1262"/>
      <c r="C7" s="1262"/>
      <c r="D7" s="1262"/>
      <c r="E7" s="449"/>
    </row>
    <row r="8" spans="1:5" ht="13.5" thickBot="1">
      <c r="A8" s="494"/>
      <c r="B8" s="494"/>
      <c r="C8" s="495"/>
      <c r="D8" s="495"/>
      <c r="E8" s="495"/>
    </row>
    <row r="9" spans="1:5" ht="16.5" thickBot="1">
      <c r="A9" s="1261" t="s">
        <v>992</v>
      </c>
      <c r="B9" s="1262"/>
      <c r="C9" s="1262"/>
      <c r="D9" s="1262"/>
      <c r="E9" s="449"/>
    </row>
    <row r="10" spans="1:6" ht="12.75">
      <c r="A10" s="14">
        <v>55215</v>
      </c>
      <c r="B10" s="497" t="s">
        <v>1001</v>
      </c>
      <c r="C10" s="15">
        <f>SUM(C11:C14)</f>
        <v>10657937.007874016</v>
      </c>
      <c r="D10" s="15"/>
      <c r="E10" s="15">
        <f>SUM(E11:E15)</f>
        <v>13466</v>
      </c>
      <c r="F10" s="8"/>
    </row>
    <row r="11" spans="1:5" ht="12.75">
      <c r="A11" s="14"/>
      <c r="B11" s="497" t="s">
        <v>1382</v>
      </c>
      <c r="C11" s="15">
        <f>481000*12*1.042/1.27</f>
        <v>4735766.9291338585</v>
      </c>
      <c r="D11" s="15"/>
      <c r="E11" s="15">
        <v>5276</v>
      </c>
    </row>
    <row r="12" spans="1:5" ht="12.75">
      <c r="A12" s="14"/>
      <c r="B12" s="497" t="s">
        <v>778</v>
      </c>
      <c r="C12" s="15">
        <f>(489000*12+1350000)*1.042/1.27</f>
        <v>5922170.078740157</v>
      </c>
      <c r="D12" s="15"/>
      <c r="E12" s="15">
        <v>4725</v>
      </c>
    </row>
    <row r="13" spans="1:5" ht="12.75">
      <c r="A13" s="14"/>
      <c r="B13" s="497" t="s">
        <v>100</v>
      </c>
      <c r="C13" s="15"/>
      <c r="D13" s="15"/>
      <c r="E13" s="15">
        <v>945</v>
      </c>
    </row>
    <row r="14" spans="1:5" ht="12.75">
      <c r="A14" s="14"/>
      <c r="B14" s="497" t="s">
        <v>340</v>
      </c>
      <c r="C14" s="15"/>
      <c r="D14" s="15"/>
      <c r="E14" s="15">
        <v>2520</v>
      </c>
    </row>
    <row r="15" spans="1:5" ht="12.75">
      <c r="A15" s="14"/>
      <c r="B15" s="497"/>
      <c r="C15" s="15"/>
      <c r="D15" s="15"/>
      <c r="E15" s="15"/>
    </row>
    <row r="16" spans="1:5" ht="12.75">
      <c r="A16" s="501" t="s">
        <v>997</v>
      </c>
      <c r="B16" s="464"/>
      <c r="C16" s="464"/>
      <c r="D16" s="464"/>
      <c r="E16" s="464"/>
    </row>
    <row r="17" spans="1:6" ht="12.75">
      <c r="A17" s="467">
        <v>56111</v>
      </c>
      <c r="B17" s="498" t="s">
        <v>1005</v>
      </c>
      <c r="C17" s="499"/>
      <c r="D17" s="15"/>
      <c r="E17" s="15">
        <f>E10*0.27</f>
        <v>3635.82</v>
      </c>
      <c r="F17" s="8"/>
    </row>
    <row r="18" spans="1:5" ht="13.5" thickBot="1">
      <c r="A18" s="502" t="s">
        <v>1004</v>
      </c>
      <c r="B18" s="500"/>
      <c r="C18" s="500"/>
      <c r="D18" s="500"/>
      <c r="E18" s="500"/>
    </row>
    <row r="19" spans="1:5" ht="16.5" thickBot="1">
      <c r="A19" s="1261" t="s">
        <v>162</v>
      </c>
      <c r="B19" s="1262"/>
      <c r="C19" s="1262"/>
      <c r="D19" s="1262"/>
      <c r="E19" s="460">
        <f>E10+E17</f>
        <v>17101.82</v>
      </c>
    </row>
    <row r="20" spans="1:5" ht="15.75">
      <c r="A20" s="78"/>
      <c r="B20" s="78"/>
      <c r="C20" s="78"/>
      <c r="D20" s="78"/>
      <c r="E20" s="79"/>
    </row>
    <row r="21" spans="1:5" ht="12.75">
      <c r="A21" s="1129" t="s">
        <v>190</v>
      </c>
      <c r="B21" s="1129"/>
      <c r="C21" s="1129"/>
      <c r="D21" s="1129"/>
      <c r="E21" s="1129"/>
    </row>
    <row r="23" spans="1:5" ht="15.75">
      <c r="A23" s="1272" t="s">
        <v>158</v>
      </c>
      <c r="B23" s="1272"/>
      <c r="C23" s="1272"/>
      <c r="D23" s="1272"/>
      <c r="E23" s="76"/>
    </row>
    <row r="25" spans="1:5" ht="12.75">
      <c r="A25" s="1129" t="s">
        <v>1515</v>
      </c>
      <c r="B25" s="1129"/>
      <c r="C25" s="1129"/>
      <c r="D25" s="1129"/>
      <c r="E25" s="1129"/>
    </row>
    <row r="27" spans="1:5" ht="15.75">
      <c r="A27" s="1272" t="s">
        <v>1516</v>
      </c>
      <c r="B27" s="1272"/>
      <c r="C27" s="1272"/>
      <c r="D27" s="1272"/>
      <c r="E27" s="76"/>
    </row>
    <row r="29" spans="1:5" ht="15.75">
      <c r="A29" s="1268" t="s">
        <v>972</v>
      </c>
      <c r="B29" s="1268"/>
      <c r="C29" s="1268"/>
      <c r="D29" s="1268"/>
      <c r="E29" s="77">
        <f>+E27+E23+E19+E9+E7</f>
        <v>17101.82</v>
      </c>
    </row>
  </sheetData>
  <sheetProtection/>
  <mergeCells count="12">
    <mergeCell ref="A27:D27"/>
    <mergeCell ref="A29:D29"/>
    <mergeCell ref="A19:D19"/>
    <mergeCell ref="A21:E21"/>
    <mergeCell ref="A23:D23"/>
    <mergeCell ref="A25:E25"/>
    <mergeCell ref="A2:E2"/>
    <mergeCell ref="A1:E1"/>
    <mergeCell ref="A7:D7"/>
    <mergeCell ref="A9:D9"/>
    <mergeCell ref="A4:E4"/>
    <mergeCell ref="A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11.140625" style="0" customWidth="1"/>
    <col min="2" max="2" width="15.8515625" style="0" customWidth="1"/>
    <col min="3" max="3" width="84.00390625" style="0" bestFit="1" customWidth="1"/>
    <col min="4" max="4" width="11.00390625" style="0" customWidth="1"/>
    <col min="5" max="5" width="11.8515625" style="0" customWidth="1"/>
  </cols>
  <sheetData>
    <row r="1" spans="1:5" ht="26.25" customHeight="1">
      <c r="A1" s="91"/>
      <c r="B1" s="91"/>
      <c r="C1" s="142" t="s">
        <v>130</v>
      </c>
      <c r="D1" s="91"/>
      <c r="E1" s="91"/>
    </row>
    <row r="2" spans="1:5" ht="30.75" customHeight="1">
      <c r="A2" s="348"/>
      <c r="B2" s="348"/>
      <c r="C2" s="349" t="s">
        <v>620</v>
      </c>
      <c r="D2" s="348"/>
      <c r="E2" s="91"/>
    </row>
    <row r="3" spans="1:5" ht="24.75" customHeight="1">
      <c r="A3" s="91"/>
      <c r="B3" s="91"/>
      <c r="C3" s="91"/>
      <c r="D3" s="91"/>
      <c r="E3" s="91"/>
    </row>
    <row r="4" spans="1:5" ht="15">
      <c r="A4" s="1278" t="s">
        <v>1166</v>
      </c>
      <c r="B4" s="1278"/>
      <c r="C4" s="1278"/>
      <c r="D4" s="1278"/>
      <c r="E4" s="1278"/>
    </row>
    <row r="5" spans="1:5" ht="15">
      <c r="A5" s="91" t="s">
        <v>1138</v>
      </c>
      <c r="B5" s="91" t="s">
        <v>1139</v>
      </c>
      <c r="C5" s="91" t="s">
        <v>1037</v>
      </c>
      <c r="D5" s="293" t="s">
        <v>1108</v>
      </c>
      <c r="E5" s="293" t="s">
        <v>933</v>
      </c>
    </row>
    <row r="6" spans="1:5" ht="19.5" customHeight="1">
      <c r="A6" s="865">
        <v>12546</v>
      </c>
      <c r="B6" s="865">
        <v>3700001</v>
      </c>
      <c r="C6" s="15" t="s">
        <v>623</v>
      </c>
      <c r="D6" s="15"/>
      <c r="E6" s="15">
        <f>E8/1.27</f>
        <v>384022.83464566927</v>
      </c>
    </row>
    <row r="7" spans="1:5" ht="19.5" customHeight="1">
      <c r="A7" s="15"/>
      <c r="B7" s="15"/>
      <c r="C7" s="15" t="s">
        <v>139</v>
      </c>
      <c r="D7" s="15"/>
      <c r="E7" s="15">
        <f>E6*0.27</f>
        <v>103686.1653543307</v>
      </c>
    </row>
    <row r="8" spans="1:5" ht="15.75">
      <c r="A8" s="1297" t="s">
        <v>621</v>
      </c>
      <c r="B8" s="1297"/>
      <c r="C8" s="1298"/>
      <c r="D8" s="1298"/>
      <c r="E8" s="450">
        <v>487709</v>
      </c>
    </row>
    <row r="9" spans="1:5" ht="15.75">
      <c r="A9" s="863"/>
      <c r="B9" s="863"/>
      <c r="C9" s="864"/>
      <c r="D9" s="864"/>
      <c r="E9" s="601"/>
    </row>
    <row r="10" spans="1:6" ht="12.75">
      <c r="A10" s="866"/>
      <c r="B10" s="866"/>
      <c r="C10" s="18" t="s">
        <v>623</v>
      </c>
      <c r="D10" s="18"/>
      <c r="E10" s="15">
        <f>318761-10</f>
        <v>318751</v>
      </c>
      <c r="F10" s="9">
        <v>0.83</v>
      </c>
    </row>
    <row r="11" spans="1:6" ht="12.75">
      <c r="A11" s="866"/>
      <c r="B11" s="866"/>
      <c r="C11" s="18" t="s">
        <v>624</v>
      </c>
      <c r="D11" s="18"/>
      <c r="E11" s="15">
        <v>35894</v>
      </c>
      <c r="F11" s="24">
        <v>0.0935</v>
      </c>
    </row>
    <row r="12" spans="1:7" ht="12.75">
      <c r="A12" s="18"/>
      <c r="B12" s="18"/>
      <c r="C12" s="18" t="s">
        <v>56</v>
      </c>
      <c r="D12" s="18"/>
      <c r="E12" s="18">
        <v>29378</v>
      </c>
      <c r="F12" s="24">
        <v>0.0765</v>
      </c>
      <c r="G12" s="209">
        <f>E12*0.06</f>
        <v>1762.6799999999998</v>
      </c>
    </row>
    <row r="13" spans="1:7" ht="12.75">
      <c r="A13" s="18"/>
      <c r="B13" s="18"/>
      <c r="C13" s="18" t="s">
        <v>57</v>
      </c>
      <c r="D13" s="18"/>
      <c r="E13" s="18">
        <f>E7</f>
        <v>103686.1653543307</v>
      </c>
      <c r="G13" s="209">
        <f>E13*0.06</f>
        <v>6221.169921259842</v>
      </c>
    </row>
    <row r="14" spans="1:7" ht="12.75">
      <c r="A14" s="18"/>
      <c r="B14" s="18"/>
      <c r="C14" s="18"/>
      <c r="D14" s="18"/>
      <c r="E14" s="18"/>
      <c r="G14" s="209">
        <f>SUM(G12:G13)</f>
        <v>7983.849921259842</v>
      </c>
    </row>
    <row r="15" spans="1:5" ht="15.75">
      <c r="A15" s="1299" t="s">
        <v>622</v>
      </c>
      <c r="B15" s="1300"/>
      <c r="C15" s="1300"/>
      <c r="D15" s="867"/>
      <c r="E15" s="450">
        <f>SUM(E10:E14)</f>
        <v>487709.1653543307</v>
      </c>
    </row>
    <row r="16" spans="1:5" ht="15">
      <c r="A16" s="91"/>
      <c r="B16" s="91"/>
      <c r="C16" s="91"/>
      <c r="D16" s="91"/>
      <c r="E16" s="91"/>
    </row>
  </sheetData>
  <sheetProtection/>
  <mergeCells count="3">
    <mergeCell ref="A4:E4"/>
    <mergeCell ref="A8:D8"/>
    <mergeCell ref="A15:C1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0"/>
  <sheetViews>
    <sheetView view="pageBreakPreview" zoomScaleNormal="90" zoomScaleSheetLayoutView="100" zoomScalePageLayoutView="0" workbookViewId="0" topLeftCell="A7">
      <selection activeCell="F25" sqref="F25"/>
    </sheetView>
  </sheetViews>
  <sheetFormatPr defaultColWidth="9.140625" defaultRowHeight="12.75"/>
  <cols>
    <col min="1" max="1" width="13.7109375" style="91" bestFit="1" customWidth="1"/>
    <col min="2" max="2" width="61.8515625" style="91" bestFit="1" customWidth="1"/>
    <col min="3" max="4" width="13.57421875" style="91" bestFit="1" customWidth="1"/>
    <col min="5" max="5" width="14.140625" style="91" bestFit="1" customWidth="1"/>
    <col min="6" max="6" width="9.8515625" style="91" bestFit="1" customWidth="1"/>
    <col min="7" max="7" width="13.57421875" style="91" bestFit="1" customWidth="1"/>
    <col min="8" max="8" width="10.57421875" style="91" bestFit="1" customWidth="1"/>
    <col min="9" max="16384" width="9.140625" style="91" customWidth="1"/>
  </cols>
  <sheetData>
    <row r="1" ht="24.75" customHeight="1">
      <c r="B1" s="142" t="s">
        <v>137</v>
      </c>
    </row>
    <row r="2" spans="1:3" ht="26.25" customHeight="1">
      <c r="A2" s="1301" t="s">
        <v>376</v>
      </c>
      <c r="B2" s="1301"/>
      <c r="C2" s="1301"/>
    </row>
    <row r="4" spans="1:5" ht="15">
      <c r="A4" s="1278" t="s">
        <v>163</v>
      </c>
      <c r="B4" s="1278"/>
      <c r="C4" s="1278"/>
      <c r="D4" s="1278"/>
      <c r="E4" s="1278"/>
    </row>
    <row r="6" s="30" customFormat="1" ht="15.75"/>
    <row r="8" spans="1:5" ht="15.75">
      <c r="A8" s="1272" t="s">
        <v>366</v>
      </c>
      <c r="B8" s="1291"/>
      <c r="C8" s="1291"/>
      <c r="D8" s="1291"/>
      <c r="E8" s="108">
        <f>E6</f>
        <v>0</v>
      </c>
    </row>
    <row r="9" spans="1:5" s="30" customFormat="1" ht="15.75">
      <c r="A9" s="30">
        <v>5331</v>
      </c>
      <c r="B9" s="30" t="s">
        <v>1505</v>
      </c>
      <c r="E9" s="31">
        <f>E8*0.27</f>
        <v>0</v>
      </c>
    </row>
    <row r="10" spans="1:5" ht="15.75">
      <c r="A10" s="1272" t="s">
        <v>367</v>
      </c>
      <c r="B10" s="1291"/>
      <c r="C10" s="1291"/>
      <c r="D10" s="1291"/>
      <c r="E10" s="108">
        <f>E9</f>
        <v>0</v>
      </c>
    </row>
    <row r="13" spans="1:5" ht="15">
      <c r="A13" s="1279" t="s">
        <v>1506</v>
      </c>
      <c r="B13" s="1279"/>
      <c r="C13" s="1279"/>
      <c r="D13" s="1279"/>
      <c r="E13" s="1279"/>
    </row>
    <row r="14" spans="1:5" ht="15">
      <c r="A14" s="1279" t="s">
        <v>994</v>
      </c>
      <c r="B14" s="1279"/>
      <c r="C14" s="1279"/>
      <c r="D14" s="1279"/>
      <c r="E14" s="1279"/>
    </row>
    <row r="15" spans="1:7" ht="15">
      <c r="A15" s="101"/>
      <c r="B15" s="101"/>
      <c r="C15" s="102"/>
      <c r="D15" s="102"/>
      <c r="E15" s="102"/>
      <c r="G15" s="367"/>
    </row>
    <row r="16" spans="1:5" ht="15">
      <c r="A16" s="1279" t="s">
        <v>1004</v>
      </c>
      <c r="B16" s="1279"/>
      <c r="C16" s="1279"/>
      <c r="D16" s="1279"/>
      <c r="E16" s="1279"/>
    </row>
    <row r="17" spans="3:5" ht="15">
      <c r="C17" s="98"/>
      <c r="D17" s="98"/>
      <c r="E17" s="98"/>
    </row>
    <row r="18" spans="1:5" ht="15.75">
      <c r="A18" s="105">
        <v>56112</v>
      </c>
      <c r="B18" s="289" t="s">
        <v>1222</v>
      </c>
      <c r="C18" s="106"/>
      <c r="D18" s="106"/>
      <c r="E18" s="107"/>
    </row>
    <row r="19" spans="3:5" ht="15">
      <c r="C19" s="98"/>
      <c r="D19" s="98"/>
      <c r="E19" s="98"/>
    </row>
    <row r="21" spans="1:5" ht="15.75">
      <c r="A21" s="1291" t="s">
        <v>162</v>
      </c>
      <c r="B21" s="1291"/>
      <c r="C21" s="1291"/>
      <c r="D21" s="1291"/>
      <c r="E21" s="108">
        <f>E18</f>
        <v>0</v>
      </c>
    </row>
    <row r="22" spans="1:10" ht="15.75">
      <c r="A22" s="1293" t="s">
        <v>972</v>
      </c>
      <c r="B22" s="1293"/>
      <c r="C22" s="1293"/>
      <c r="D22" s="1293"/>
      <c r="E22" s="110"/>
      <c r="J22" s="370"/>
    </row>
    <row r="24" spans="2:7" ht="15">
      <c r="B24" s="96" t="s">
        <v>164</v>
      </c>
      <c r="G24" s="369"/>
    </row>
    <row r="25" ht="15">
      <c r="B25" s="96" t="s">
        <v>1223</v>
      </c>
    </row>
    <row r="26" ht="15">
      <c r="F26" s="366"/>
    </row>
    <row r="27" spans="1:9" s="30" customFormat="1" ht="15.75">
      <c r="A27" s="30">
        <v>91913</v>
      </c>
      <c r="B27" s="30" t="s">
        <v>1224</v>
      </c>
      <c r="E27" s="807"/>
      <c r="I27" s="368"/>
    </row>
    <row r="29" spans="1:5" ht="15">
      <c r="A29" s="367" t="s">
        <v>1225</v>
      </c>
      <c r="B29" s="367"/>
      <c r="C29" s="367"/>
      <c r="D29" s="367"/>
      <c r="E29" s="808">
        <f>E27</f>
        <v>0</v>
      </c>
    </row>
    <row r="30" spans="1:9" ht="15.75">
      <c r="A30" s="1268" t="s">
        <v>1226</v>
      </c>
      <c r="B30" s="1293"/>
      <c r="C30" s="1293"/>
      <c r="D30" s="1293"/>
      <c r="E30" s="110">
        <f>E29</f>
        <v>0</v>
      </c>
      <c r="I30" s="366"/>
    </row>
  </sheetData>
  <sheetProtection/>
  <mergeCells count="10">
    <mergeCell ref="A30:D30"/>
    <mergeCell ref="A2:C2"/>
    <mergeCell ref="A21:D21"/>
    <mergeCell ref="A22:D22"/>
    <mergeCell ref="A4:E4"/>
    <mergeCell ref="A13:E13"/>
    <mergeCell ref="A14:E14"/>
    <mergeCell ref="A16:E16"/>
    <mergeCell ref="A8:D8"/>
    <mergeCell ref="A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">
      <selection activeCell="A1" sqref="A1:D27"/>
    </sheetView>
  </sheetViews>
  <sheetFormatPr defaultColWidth="9.140625" defaultRowHeight="12.75"/>
  <cols>
    <col min="1" max="1" width="9.421875" style="118" customWidth="1"/>
    <col min="2" max="2" width="59.8515625" style="118" customWidth="1"/>
    <col min="3" max="3" width="15.8515625" style="118" customWidth="1"/>
    <col min="4" max="4" width="14.28125" style="118" customWidth="1"/>
    <col min="5" max="5" width="13.28125" style="118" customWidth="1"/>
    <col min="6" max="6" width="9.140625" style="118" customWidth="1"/>
    <col min="7" max="7" width="13.421875" style="118" customWidth="1"/>
    <col min="8" max="16384" width="9.140625" style="118" customWidth="1"/>
  </cols>
  <sheetData>
    <row r="1" ht="46.5" customHeight="1">
      <c r="B1" s="221" t="s">
        <v>174</v>
      </c>
    </row>
    <row r="2" ht="46.5" customHeight="1">
      <c r="B2" s="221" t="s">
        <v>1205</v>
      </c>
    </row>
    <row r="3" spans="1:6" ht="18.75">
      <c r="A3" s="1304" t="s">
        <v>163</v>
      </c>
      <c r="B3" s="1304"/>
      <c r="C3" s="1304"/>
      <c r="D3" s="1304"/>
      <c r="E3" s="276"/>
      <c r="F3" s="276"/>
    </row>
    <row r="4" spans="1:4" s="281" customFormat="1" ht="18">
      <c r="A4" s="1302" t="s">
        <v>1104</v>
      </c>
      <c r="B4" s="1302"/>
      <c r="C4" s="1302"/>
      <c r="D4" s="1302"/>
    </row>
    <row r="5" spans="1:4" s="281" customFormat="1" ht="18">
      <c r="A5" s="683"/>
      <c r="B5" s="655" t="s">
        <v>328</v>
      </c>
      <c r="C5" s="113"/>
      <c r="D5" s="656">
        <v>18421</v>
      </c>
    </row>
    <row r="6" spans="1:5" s="281" customFormat="1" ht="18">
      <c r="A6" s="683"/>
      <c r="B6" s="655" t="s">
        <v>329</v>
      </c>
      <c r="C6" s="113"/>
      <c r="D6" s="656">
        <f>38243*0.106*6/12</f>
        <v>2026.879</v>
      </c>
      <c r="E6" s="19" t="s">
        <v>330</v>
      </c>
    </row>
    <row r="7" spans="1:4" s="281" customFormat="1" ht="18">
      <c r="A7" s="686"/>
      <c r="B7" s="684" t="s">
        <v>487</v>
      </c>
      <c r="C7" s="687"/>
      <c r="D7" s="1071">
        <f>SUM(D5:D6)</f>
        <v>20447.879</v>
      </c>
    </row>
    <row r="8" spans="1:4" s="281" customFormat="1" ht="18">
      <c r="A8" s="279"/>
      <c r="B8" s="279" t="s">
        <v>1176</v>
      </c>
      <c r="C8" s="279"/>
      <c r="D8" s="280"/>
    </row>
    <row r="9" spans="1:5" s="281" customFormat="1" ht="18">
      <c r="A9" s="655"/>
      <c r="B9" s="655" t="s">
        <v>1176</v>
      </c>
      <c r="C9" s="113">
        <v>17789550</v>
      </c>
      <c r="D9" s="113">
        <v>17790</v>
      </c>
      <c r="E9" s="655" t="s">
        <v>1178</v>
      </c>
    </row>
    <row r="10" spans="1:4" s="281" customFormat="1" ht="18">
      <c r="A10" s="655"/>
      <c r="B10" s="655" t="s">
        <v>484</v>
      </c>
      <c r="C10" s="656">
        <f>17789399*0.12*6/12</f>
        <v>1067363.94</v>
      </c>
      <c r="D10" s="656">
        <f>17789399*0.12*6/12/1000</f>
        <v>1067.36394</v>
      </c>
    </row>
    <row r="11" spans="1:4" s="281" customFormat="1" ht="18">
      <c r="A11" s="655"/>
      <c r="B11" s="655" t="s">
        <v>485</v>
      </c>
      <c r="C11" s="113">
        <v>131998550</v>
      </c>
      <c r="D11" s="656">
        <v>131999</v>
      </c>
    </row>
    <row r="12" spans="1:4" s="281" customFormat="1" ht="18">
      <c r="A12" s="655"/>
      <c r="B12" s="655" t="s">
        <v>486</v>
      </c>
      <c r="C12" s="113">
        <f>131998550*0.12*6/12</f>
        <v>7919913</v>
      </c>
      <c r="D12" s="113">
        <f>131998550*0.12*6/12/1000</f>
        <v>7919.913</v>
      </c>
    </row>
    <row r="13" spans="1:6" s="281" customFormat="1" ht="18">
      <c r="A13" s="287">
        <v>57311</v>
      </c>
      <c r="B13" s="287" t="s">
        <v>199</v>
      </c>
      <c r="C13" s="104"/>
      <c r="D13" s="288">
        <f>SUM(D9:D12)</f>
        <v>158776.27694</v>
      </c>
      <c r="E13" s="660"/>
      <c r="F13" s="660"/>
    </row>
    <row r="14" spans="1:6" s="281" customFormat="1" ht="18">
      <c r="A14" s="657"/>
      <c r="B14" s="657" t="s">
        <v>883</v>
      </c>
      <c r="C14" s="102"/>
      <c r="D14" s="658">
        <f>35722-1600</f>
        <v>34122</v>
      </c>
      <c r="E14" s="659"/>
      <c r="F14" s="659"/>
    </row>
    <row r="15" spans="1:4" s="281" customFormat="1" ht="18">
      <c r="A15" s="655"/>
      <c r="B15" s="655"/>
      <c r="C15" s="655"/>
      <c r="D15" s="659"/>
    </row>
    <row r="16" spans="1:4" s="281" customFormat="1" ht="18">
      <c r="A16" s="1303" t="s">
        <v>1105</v>
      </c>
      <c r="B16" s="1303"/>
      <c r="C16" s="1303"/>
      <c r="D16" s="685">
        <f>D7+D13+D14</f>
        <v>213346.15594000003</v>
      </c>
    </row>
    <row r="17" s="281" customFormat="1" ht="18"/>
    <row r="18" spans="1:4" ht="18">
      <c r="A18" s="1305" t="s">
        <v>972</v>
      </c>
      <c r="B18" s="1305"/>
      <c r="C18" s="1305"/>
      <c r="D18" s="283">
        <f>+D16</f>
        <v>213346.15594000003</v>
      </c>
    </row>
    <row r="21" spans="1:4" ht="18.75">
      <c r="A21" s="1307"/>
      <c r="B21" s="1307"/>
      <c r="C21" s="1307"/>
      <c r="D21" s="1307"/>
    </row>
    <row r="22" spans="1:7" s="281" customFormat="1" ht="18">
      <c r="A22" s="279"/>
      <c r="B22" s="655" t="s">
        <v>488</v>
      </c>
      <c r="C22" s="279"/>
      <c r="D22" s="282">
        <f>(D13+D7)*0.6</f>
        <v>107534.49356400002</v>
      </c>
      <c r="G22" s="280"/>
    </row>
    <row r="23" spans="1:4" s="281" customFormat="1" ht="28.5" customHeight="1">
      <c r="A23" s="290"/>
      <c r="B23" s="395"/>
      <c r="C23" s="141"/>
      <c r="D23" s="410"/>
    </row>
    <row r="24" spans="1:4" s="281" customFormat="1" ht="18">
      <c r="A24" s="284"/>
      <c r="C24" s="139"/>
      <c r="D24" s="285"/>
    </row>
    <row r="25" spans="1:4" s="281" customFormat="1" ht="18">
      <c r="A25" s="1306"/>
      <c r="B25" s="1306"/>
      <c r="C25" s="1306"/>
      <c r="D25" s="277"/>
    </row>
    <row r="26" s="281" customFormat="1" ht="18"/>
    <row r="27" spans="1:4" ht="18">
      <c r="A27" s="1305" t="s">
        <v>973</v>
      </c>
      <c r="B27" s="1305"/>
      <c r="C27" s="1305"/>
      <c r="D27" s="283"/>
    </row>
  </sheetData>
  <sheetProtection/>
  <mergeCells count="7">
    <mergeCell ref="A4:D4"/>
    <mergeCell ref="A16:C16"/>
    <mergeCell ref="A3:D3"/>
    <mergeCell ref="A27:C27"/>
    <mergeCell ref="A25:C25"/>
    <mergeCell ref="A18:C18"/>
    <mergeCell ref="A21:D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4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E33"/>
  <sheetViews>
    <sheetView view="pageBreakPreview" zoomScale="60" zoomScaleNormal="85" zoomScalePageLayoutView="0" workbookViewId="0" topLeftCell="A13">
      <selection activeCell="E21" sqref="E21"/>
    </sheetView>
  </sheetViews>
  <sheetFormatPr defaultColWidth="9.140625" defaultRowHeight="27" customHeight="1"/>
  <cols>
    <col min="1" max="1" width="13.57421875" style="91" bestFit="1" customWidth="1"/>
    <col min="2" max="2" width="58.421875" style="91" bestFit="1" customWidth="1"/>
    <col min="3" max="6" width="10.421875" style="91" bestFit="1" customWidth="1"/>
    <col min="7" max="16384" width="9.140625" style="91" customWidth="1"/>
  </cols>
  <sheetData>
    <row r="1" spans="1:5" ht="27" customHeight="1">
      <c r="A1" s="118"/>
      <c r="B1" s="117" t="s">
        <v>130</v>
      </c>
      <c r="C1" s="118"/>
      <c r="D1" s="118"/>
      <c r="E1" s="118"/>
    </row>
    <row r="2" spans="1:5" ht="27" customHeight="1">
      <c r="A2" s="118"/>
      <c r="B2" s="354" t="s">
        <v>380</v>
      </c>
      <c r="C2" s="118"/>
      <c r="D2" s="118"/>
      <c r="E2" s="118"/>
    </row>
    <row r="3" spans="1:5" ht="27" customHeight="1">
      <c r="A3" s="118"/>
      <c r="B3" s="118"/>
      <c r="C3" s="118"/>
      <c r="D3" s="118"/>
      <c r="E3" s="118"/>
    </row>
    <row r="4" spans="1:5" ht="27" customHeight="1">
      <c r="A4" s="1304" t="s">
        <v>163</v>
      </c>
      <c r="B4" s="1304"/>
      <c r="C4" s="1304"/>
      <c r="D4" s="1304"/>
      <c r="E4" s="1304"/>
    </row>
    <row r="5" spans="1:5" ht="27" customHeight="1">
      <c r="A5" s="1310" t="s">
        <v>1499</v>
      </c>
      <c r="B5" s="1310"/>
      <c r="C5" s="1310"/>
      <c r="D5" s="1310"/>
      <c r="E5" s="1310"/>
    </row>
    <row r="6" spans="1:5" ht="27" customHeight="1">
      <c r="A6" s="351"/>
      <c r="B6" s="351"/>
      <c r="C6" s="351"/>
      <c r="D6" s="351"/>
      <c r="E6" s="351"/>
    </row>
    <row r="7" spans="1:5" ht="27" customHeight="1">
      <c r="A7" s="1308" t="s">
        <v>1504</v>
      </c>
      <c r="B7" s="1309"/>
      <c r="C7" s="1309"/>
      <c r="D7" s="1309"/>
      <c r="E7" s="1309"/>
    </row>
    <row r="8" spans="1:5" ht="27" customHeight="1">
      <c r="A8" s="140"/>
      <c r="B8" s="140"/>
      <c r="C8" s="139"/>
      <c r="D8" s="139"/>
      <c r="E8" s="139"/>
    </row>
    <row r="9" spans="1:5" ht="27" customHeight="1">
      <c r="A9" s="1310" t="s">
        <v>1506</v>
      </c>
      <c r="B9" s="1310"/>
      <c r="C9" s="1310"/>
      <c r="D9" s="1310"/>
      <c r="E9" s="1310"/>
    </row>
    <row r="11" spans="1:5" ht="27" customHeight="1">
      <c r="A11" s="483">
        <v>5431</v>
      </c>
      <c r="B11" s="484" t="s">
        <v>993</v>
      </c>
      <c r="C11" s="382"/>
      <c r="D11" s="382"/>
      <c r="E11" s="382">
        <v>0</v>
      </c>
    </row>
    <row r="12" spans="1:5" ht="27" customHeight="1">
      <c r="A12" s="483">
        <v>5441</v>
      </c>
      <c r="B12" s="483" t="s">
        <v>201</v>
      </c>
      <c r="C12" s="382"/>
      <c r="D12" s="382"/>
      <c r="E12" s="382">
        <v>0</v>
      </c>
    </row>
    <row r="13" spans="1:5" ht="27" customHeight="1">
      <c r="A13" s="488" t="s">
        <v>994</v>
      </c>
      <c r="B13" s="488"/>
      <c r="C13" s="488"/>
      <c r="D13" s="488"/>
      <c r="E13" s="489">
        <f>+E11+E12</f>
        <v>0</v>
      </c>
    </row>
    <row r="14" spans="1:5" ht="27" customHeight="1">
      <c r="A14" s="483">
        <v>55111</v>
      </c>
      <c r="B14" s="484" t="s">
        <v>998</v>
      </c>
      <c r="C14" s="382"/>
      <c r="D14" s="382"/>
      <c r="E14" s="382">
        <v>43</v>
      </c>
    </row>
    <row r="15" spans="1:5" ht="27" customHeight="1">
      <c r="A15" s="483">
        <v>55213</v>
      </c>
      <c r="B15" s="484" t="s">
        <v>945</v>
      </c>
      <c r="C15" s="382"/>
      <c r="D15" s="382"/>
      <c r="E15" s="382">
        <v>26</v>
      </c>
    </row>
    <row r="16" spans="1:5" ht="27" customHeight="1">
      <c r="A16" s="483">
        <v>55214</v>
      </c>
      <c r="B16" s="484" t="s">
        <v>1000</v>
      </c>
      <c r="C16" s="382"/>
      <c r="D16" s="382"/>
      <c r="E16" s="382">
        <v>27</v>
      </c>
    </row>
    <row r="17" spans="1:5" ht="27" customHeight="1">
      <c r="A17" s="483">
        <v>55215</v>
      </c>
      <c r="B17" s="484" t="s">
        <v>1001</v>
      </c>
      <c r="C17" s="382"/>
      <c r="D17" s="382"/>
      <c r="E17" s="382">
        <v>70</v>
      </c>
    </row>
    <row r="18" spans="1:5" ht="27" customHeight="1">
      <c r="A18" s="488" t="s">
        <v>997</v>
      </c>
      <c r="B18" s="488"/>
      <c r="C18" s="488"/>
      <c r="D18" s="488"/>
      <c r="E18" s="489">
        <f>+E14+E16+E17+E15</f>
        <v>166</v>
      </c>
    </row>
    <row r="19" spans="1:5" ht="27" customHeight="1">
      <c r="A19" s="485">
        <v>56111</v>
      </c>
      <c r="B19" s="486" t="s">
        <v>1005</v>
      </c>
      <c r="C19" s="486"/>
      <c r="D19" s="486"/>
      <c r="E19" s="487">
        <f>E18*0.27</f>
        <v>44.82</v>
      </c>
    </row>
    <row r="20" spans="1:5" ht="27" customHeight="1">
      <c r="A20" s="483">
        <v>56211</v>
      </c>
      <c r="B20" s="483" t="s">
        <v>1006</v>
      </c>
      <c r="C20" s="483"/>
      <c r="D20" s="382"/>
      <c r="E20" s="382">
        <v>14</v>
      </c>
    </row>
    <row r="21" spans="1:5" ht="27" customHeight="1">
      <c r="A21" s="483">
        <v>56319</v>
      </c>
      <c r="B21" s="484" t="s">
        <v>203</v>
      </c>
      <c r="C21" s="382"/>
      <c r="D21" s="382"/>
      <c r="E21" s="382">
        <v>25</v>
      </c>
    </row>
    <row r="22" spans="1:5" ht="27" customHeight="1" thickBot="1">
      <c r="A22" s="490" t="s">
        <v>1004</v>
      </c>
      <c r="B22" s="490"/>
      <c r="C22" s="490"/>
      <c r="D22" s="490"/>
      <c r="E22" s="491">
        <f>+E19+E20+E21</f>
        <v>83.82</v>
      </c>
    </row>
    <row r="23" spans="1:5" ht="27" customHeight="1" thickBot="1">
      <c r="A23" s="1311" t="s">
        <v>162</v>
      </c>
      <c r="B23" s="1312"/>
      <c r="C23" s="1312"/>
      <c r="D23" s="1312"/>
      <c r="E23" s="492">
        <f>+E13+E18+E22</f>
        <v>249.82</v>
      </c>
    </row>
    <row r="24" spans="1:5" ht="27" customHeight="1">
      <c r="A24" s="352"/>
      <c r="B24" s="352"/>
      <c r="C24" s="352">
        <v>1.25</v>
      </c>
      <c r="D24" s="352"/>
      <c r="E24" s="353"/>
    </row>
    <row r="25" spans="1:5" ht="27" customHeight="1">
      <c r="A25" s="1310" t="s">
        <v>190</v>
      </c>
      <c r="B25" s="1310"/>
      <c r="C25" s="1310"/>
      <c r="D25" s="1310"/>
      <c r="E25" s="1310"/>
    </row>
    <row r="26" spans="1:5" ht="27" customHeight="1">
      <c r="A26" s="118"/>
      <c r="B26" s="118"/>
      <c r="C26" s="118"/>
      <c r="D26" s="118"/>
      <c r="E26" s="118"/>
    </row>
    <row r="27" spans="1:5" ht="27" customHeight="1">
      <c r="A27" s="1306" t="s">
        <v>158</v>
      </c>
      <c r="B27" s="1306"/>
      <c r="C27" s="1306"/>
      <c r="D27" s="1306"/>
      <c r="E27" s="278"/>
    </row>
    <row r="28" spans="1:5" ht="27" customHeight="1">
      <c r="A28" s="118"/>
      <c r="B28" s="118"/>
      <c r="C28" s="118"/>
      <c r="D28" s="118"/>
      <c r="E28" s="118"/>
    </row>
    <row r="29" spans="1:5" ht="27" customHeight="1">
      <c r="A29" s="1310" t="s">
        <v>1515</v>
      </c>
      <c r="B29" s="1310"/>
      <c r="C29" s="1310"/>
      <c r="D29" s="1310"/>
      <c r="E29" s="1310"/>
    </row>
    <row r="30" spans="1:5" ht="27" customHeight="1">
      <c r="A30" s="118"/>
      <c r="B30" s="118"/>
      <c r="C30" s="118"/>
      <c r="D30" s="118"/>
      <c r="E30" s="118"/>
    </row>
    <row r="31" spans="1:5" ht="27" customHeight="1">
      <c r="A31" s="1306" t="s">
        <v>1516</v>
      </c>
      <c r="B31" s="1306"/>
      <c r="C31" s="1306"/>
      <c r="D31" s="1306"/>
      <c r="E31" s="278"/>
    </row>
    <row r="32" spans="1:5" ht="27" customHeight="1">
      <c r="A32" s="118"/>
      <c r="B32" s="118"/>
      <c r="C32" s="118"/>
      <c r="D32" s="118"/>
      <c r="E32" s="118"/>
    </row>
    <row r="33" spans="1:5" ht="27" customHeight="1">
      <c r="A33" s="1305" t="s">
        <v>972</v>
      </c>
      <c r="B33" s="1305"/>
      <c r="C33" s="1305"/>
      <c r="D33" s="1305"/>
      <c r="E33" s="283">
        <f>+E31+E27+E23</f>
        <v>249.82</v>
      </c>
    </row>
  </sheetData>
  <sheetProtection/>
  <mergeCells count="10">
    <mergeCell ref="A33:D33"/>
    <mergeCell ref="A31:D31"/>
    <mergeCell ref="A7:E7"/>
    <mergeCell ref="A4:E4"/>
    <mergeCell ref="A5:E5"/>
    <mergeCell ref="A9:E9"/>
    <mergeCell ref="A23:D23"/>
    <mergeCell ref="A25:E25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62" r:id="rId1"/>
  <rowBreaks count="1" manualBreakCount="1">
    <brk id="33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SheetLayoutView="100" zoomScalePageLayoutView="0" workbookViewId="0" topLeftCell="A16">
      <selection activeCell="C9" sqref="C9"/>
    </sheetView>
  </sheetViews>
  <sheetFormatPr defaultColWidth="9.140625" defaultRowHeight="27" customHeight="1"/>
  <cols>
    <col min="1" max="1" width="13.57421875" style="91" bestFit="1" customWidth="1"/>
    <col min="2" max="2" width="61.8515625" style="91" customWidth="1"/>
    <col min="3" max="3" width="16.421875" style="91" customWidth="1"/>
    <col min="4" max="4" width="10.57421875" style="91" customWidth="1"/>
    <col min="5" max="5" width="17.00390625" style="91" customWidth="1"/>
    <col min="6" max="6" width="10.421875" style="91" bestFit="1" customWidth="1"/>
    <col min="7" max="16384" width="9.140625" style="91" customWidth="1"/>
  </cols>
  <sheetData>
    <row r="1" ht="27" customHeight="1">
      <c r="B1" s="374" t="s">
        <v>130</v>
      </c>
    </row>
    <row r="2" ht="27" customHeight="1">
      <c r="B2" s="355" t="s">
        <v>382</v>
      </c>
    </row>
    <row r="4" spans="1:5" ht="27" customHeight="1">
      <c r="A4" s="1278" t="s">
        <v>163</v>
      </c>
      <c r="B4" s="1278"/>
      <c r="C4" s="1278"/>
      <c r="D4" s="1278"/>
      <c r="E4" s="1278"/>
    </row>
    <row r="5" spans="1:5" ht="27" customHeight="1" thickBot="1">
      <c r="A5" s="443"/>
      <c r="B5" s="443"/>
      <c r="C5" s="444"/>
      <c r="D5" s="444"/>
      <c r="E5" s="444"/>
    </row>
    <row r="6" spans="1:5" ht="27" customHeight="1" thickBot="1">
      <c r="A6" s="1314" t="s">
        <v>1503</v>
      </c>
      <c r="B6" s="1315"/>
      <c r="C6" s="1315"/>
      <c r="D6" s="1315"/>
      <c r="E6" s="445"/>
    </row>
    <row r="7" spans="1:5" ht="27" customHeight="1" thickBot="1">
      <c r="A7" s="478"/>
      <c r="B7" s="478"/>
      <c r="C7" s="477"/>
      <c r="D7" s="477"/>
      <c r="E7" s="477"/>
    </row>
    <row r="8" spans="1:5" ht="27" customHeight="1" thickBot="1">
      <c r="A8" s="1314" t="s">
        <v>992</v>
      </c>
      <c r="B8" s="1315"/>
      <c r="C8" s="1315"/>
      <c r="D8" s="1315"/>
      <c r="E8" s="445"/>
    </row>
    <row r="9" spans="1:5" ht="27" customHeight="1">
      <c r="A9" s="503" t="s">
        <v>1514</v>
      </c>
      <c r="B9" s="504" t="s">
        <v>533</v>
      </c>
      <c r="C9" s="505">
        <f>(55864557*1.042)*0.6/1.27/1.042</f>
        <v>26392704.09448819</v>
      </c>
      <c r="D9" s="505"/>
      <c r="E9" s="506"/>
    </row>
    <row r="10" spans="1:5" ht="27" customHeight="1">
      <c r="A10" s="92">
        <v>552122</v>
      </c>
      <c r="B10" s="253" t="s">
        <v>1473</v>
      </c>
      <c r="C10" s="100"/>
      <c r="D10" s="100"/>
      <c r="E10" s="93">
        <f>ROUND(C9,-3)/1000</f>
        <v>26393</v>
      </c>
    </row>
    <row r="11" spans="1:5" ht="27" customHeight="1">
      <c r="A11" s="675">
        <v>56111</v>
      </c>
      <c r="B11" s="676" t="s">
        <v>1005</v>
      </c>
      <c r="C11" s="265">
        <f>C9*0.27</f>
        <v>7126030.105511812</v>
      </c>
      <c r="D11" s="100"/>
      <c r="E11" s="93">
        <f>ROUND(C11,-3)/1000</f>
        <v>7126</v>
      </c>
    </row>
    <row r="12" spans="1:5" ht="27" customHeight="1" thickBot="1">
      <c r="A12" s="612">
        <v>55219</v>
      </c>
      <c r="B12" s="615" t="s">
        <v>106</v>
      </c>
      <c r="C12" s="613">
        <v>0</v>
      </c>
      <c r="D12" s="477"/>
      <c r="E12" s="614">
        <f>+ROUND(C12,-3)/1000</f>
        <v>0</v>
      </c>
    </row>
    <row r="13" spans="1:5" ht="27" customHeight="1" thickBot="1">
      <c r="A13" s="1314" t="s">
        <v>162</v>
      </c>
      <c r="B13" s="1315"/>
      <c r="C13" s="1315"/>
      <c r="D13" s="1315"/>
      <c r="E13" s="507">
        <f>SUM(E10:E12)</f>
        <v>33519</v>
      </c>
    </row>
    <row r="14" spans="1:5" ht="27" customHeight="1" thickBot="1">
      <c r="A14" s="478"/>
      <c r="B14" s="478"/>
      <c r="C14" s="478"/>
      <c r="D14" s="478"/>
      <c r="E14" s="478"/>
    </row>
    <row r="15" spans="1:5" ht="27" customHeight="1" thickBot="1">
      <c r="A15" s="1314" t="s">
        <v>158</v>
      </c>
      <c r="B15" s="1315"/>
      <c r="C15" s="1315"/>
      <c r="D15" s="1315"/>
      <c r="E15" s="445"/>
    </row>
    <row r="16" spans="1:5" ht="27" customHeight="1" thickBot="1">
      <c r="A16" s="478"/>
      <c r="B16" s="478"/>
      <c r="C16" s="478"/>
      <c r="D16" s="478"/>
      <c r="E16" s="478"/>
    </row>
    <row r="17" spans="1:5" ht="27" customHeight="1" thickBot="1">
      <c r="A17" s="1314" t="s">
        <v>1516</v>
      </c>
      <c r="B17" s="1315"/>
      <c r="C17" s="1315"/>
      <c r="D17" s="1315"/>
      <c r="E17" s="445"/>
    </row>
    <row r="18" spans="1:5" ht="27" customHeight="1" thickBot="1">
      <c r="A18" s="1317" t="s">
        <v>972</v>
      </c>
      <c r="B18" s="1318"/>
      <c r="C18" s="1318"/>
      <c r="D18" s="1318"/>
      <c r="E18" s="508">
        <f>+E17+E15+E13+E8+E6</f>
        <v>33519</v>
      </c>
    </row>
    <row r="20" spans="1:5" ht="27" customHeight="1">
      <c r="A20" s="1313" t="s">
        <v>164</v>
      </c>
      <c r="B20" s="1313"/>
      <c r="C20" s="1313"/>
      <c r="D20" s="1313"/>
      <c r="E20" s="1313"/>
    </row>
    <row r="22" s="90" customFormat="1" ht="27" customHeight="1">
      <c r="E22" s="120"/>
    </row>
    <row r="23" s="90" customFormat="1" ht="27" customHeight="1">
      <c r="E23" s="120"/>
    </row>
    <row r="24" spans="3:4" ht="27" customHeight="1">
      <c r="C24" s="120"/>
      <c r="D24" s="120"/>
    </row>
    <row r="25" spans="3:5" ht="27" customHeight="1">
      <c r="C25" s="98"/>
      <c r="D25" s="98"/>
      <c r="E25" s="98"/>
    </row>
    <row r="26" spans="1:5" ht="27" customHeight="1">
      <c r="A26" s="1293" t="s">
        <v>978</v>
      </c>
      <c r="B26" s="1316"/>
      <c r="C26" s="1316"/>
      <c r="D26" s="1316"/>
      <c r="E26" s="124">
        <f>E22</f>
        <v>0</v>
      </c>
    </row>
    <row r="27" spans="3:5" ht="27" customHeight="1">
      <c r="C27" s="98"/>
      <c r="D27" s="98"/>
      <c r="E27" s="98"/>
    </row>
    <row r="28" spans="3:5" ht="27" customHeight="1">
      <c r="C28" s="98"/>
      <c r="D28" s="98"/>
      <c r="E28" s="98"/>
    </row>
    <row r="29" spans="3:5" ht="27" customHeight="1">
      <c r="C29" s="98"/>
      <c r="D29" s="98"/>
      <c r="E29" s="98"/>
    </row>
    <row r="30" spans="3:5" ht="27" customHeight="1">
      <c r="C30" s="98"/>
      <c r="D30" s="98"/>
      <c r="E30" s="98"/>
    </row>
    <row r="31" spans="3:5" ht="27" customHeight="1">
      <c r="C31" s="98"/>
      <c r="D31" s="98"/>
      <c r="E31" s="98"/>
    </row>
    <row r="32" spans="3:5" ht="27" customHeight="1">
      <c r="C32" s="98"/>
      <c r="D32" s="98"/>
      <c r="E32" s="98"/>
    </row>
    <row r="33" spans="3:5" ht="27" customHeight="1">
      <c r="C33" s="98"/>
      <c r="D33" s="98"/>
      <c r="E33" s="98"/>
    </row>
  </sheetData>
  <sheetProtection/>
  <mergeCells count="9">
    <mergeCell ref="A20:E20"/>
    <mergeCell ref="A4:E4"/>
    <mergeCell ref="A6:D6"/>
    <mergeCell ref="A26:D26"/>
    <mergeCell ref="A17:D17"/>
    <mergeCell ref="A18:D18"/>
    <mergeCell ref="A8:D8"/>
    <mergeCell ref="A13:D13"/>
    <mergeCell ref="A15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8515625" style="296" customWidth="1"/>
    <col min="2" max="2" width="34.421875" style="0" customWidth="1"/>
    <col min="3" max="3" width="14.28125" style="0" customWidth="1"/>
    <col min="4" max="4" width="13.00390625" style="0" customWidth="1"/>
    <col min="5" max="5" width="14.7109375" style="0" customWidth="1"/>
  </cols>
  <sheetData>
    <row r="1" ht="18">
      <c r="B1" s="117" t="s">
        <v>130</v>
      </c>
    </row>
    <row r="2" spans="1:2" ht="18">
      <c r="A2" s="297"/>
      <c r="B2" s="356" t="s">
        <v>383</v>
      </c>
    </row>
    <row r="4" spans="1:5" ht="15">
      <c r="A4" s="1271" t="s">
        <v>163</v>
      </c>
      <c r="B4" s="1271"/>
      <c r="C4" s="1271"/>
      <c r="D4" s="1271"/>
      <c r="E4" s="1271"/>
    </row>
    <row r="5" spans="1:5" ht="13.5" thickBot="1">
      <c r="A5" s="510"/>
      <c r="B5" s="475"/>
      <c r="C5" s="458"/>
      <c r="D5" s="458"/>
      <c r="E5" s="458"/>
    </row>
    <row r="6" spans="1:5" ht="16.5" thickBot="1">
      <c r="A6" s="1261" t="s">
        <v>1503</v>
      </c>
      <c r="B6" s="1262"/>
      <c r="C6" s="1262"/>
      <c r="D6" s="1262"/>
      <c r="E6" s="449"/>
    </row>
    <row r="7" spans="1:5" ht="13.5" thickBot="1">
      <c r="A7" s="512"/>
      <c r="B7" s="494"/>
      <c r="C7" s="495"/>
      <c r="D7" s="495"/>
      <c r="E7" s="495"/>
    </row>
    <row r="8" spans="1:5" ht="16.5" thickBot="1">
      <c r="A8" s="1261" t="s">
        <v>992</v>
      </c>
      <c r="B8" s="1262"/>
      <c r="C8" s="1262"/>
      <c r="D8" s="1262"/>
      <c r="E8" s="449"/>
    </row>
    <row r="9" spans="1:5" ht="25.5">
      <c r="A9" s="513">
        <v>55219</v>
      </c>
      <c r="B9" s="202" t="s">
        <v>51</v>
      </c>
      <c r="C9" s="514">
        <f>(1208000*1.057)*12</f>
        <v>15322272</v>
      </c>
      <c r="D9" s="493"/>
      <c r="E9" s="515">
        <f>C9/1000</f>
        <v>15322.272</v>
      </c>
    </row>
    <row r="10" spans="1:5" ht="13.5" thickBot="1">
      <c r="A10" s="509">
        <v>56111</v>
      </c>
      <c r="B10" s="473" t="s">
        <v>1005</v>
      </c>
      <c r="C10" s="496">
        <v>0</v>
      </c>
      <c r="D10" s="63">
        <f>+ROUND(C10,-3)</f>
        <v>0</v>
      </c>
      <c r="E10" s="35">
        <f>C10/1000</f>
        <v>0</v>
      </c>
    </row>
    <row r="11" spans="1:5" ht="16.5" thickBot="1">
      <c r="A11" s="1261" t="s">
        <v>162</v>
      </c>
      <c r="B11" s="1262"/>
      <c r="C11" s="1262"/>
      <c r="D11" s="1262"/>
      <c r="E11" s="460">
        <f>+E10+E9</f>
        <v>15322.272</v>
      </c>
    </row>
    <row r="12" spans="1:5" ht="13.5" thickBot="1">
      <c r="A12" s="511"/>
      <c r="B12" s="169"/>
      <c r="C12" s="169"/>
      <c r="D12" s="169"/>
      <c r="E12" s="169"/>
    </row>
    <row r="13" spans="1:5" ht="16.5" thickBot="1">
      <c r="A13" s="1261" t="s">
        <v>158</v>
      </c>
      <c r="B13" s="1262"/>
      <c r="C13" s="1262"/>
      <c r="D13" s="1262"/>
      <c r="E13" s="449"/>
    </row>
    <row r="14" spans="1:5" ht="13.5" thickBot="1">
      <c r="A14" s="516"/>
      <c r="B14" s="172"/>
      <c r="C14" s="172"/>
      <c r="D14" s="172"/>
      <c r="E14" s="172"/>
    </row>
    <row r="15" spans="1:5" ht="16.5" thickBot="1">
      <c r="A15" s="1261" t="s">
        <v>1516</v>
      </c>
      <c r="B15" s="1262"/>
      <c r="C15" s="1262"/>
      <c r="D15" s="1262"/>
      <c r="E15" s="449"/>
    </row>
    <row r="16" spans="1:5" ht="16.5" thickBot="1">
      <c r="A16" s="1264" t="s">
        <v>972</v>
      </c>
      <c r="B16" s="1265"/>
      <c r="C16" s="1265"/>
      <c r="D16" s="1265"/>
      <c r="E16" s="461">
        <f>+E15+E13+E11+E8+E6</f>
        <v>15322.272</v>
      </c>
    </row>
  </sheetData>
  <sheetProtection/>
  <mergeCells count="7">
    <mergeCell ref="A16:D16"/>
    <mergeCell ref="A11:D11"/>
    <mergeCell ref="A13:D13"/>
    <mergeCell ref="A4:E4"/>
    <mergeCell ref="A6:D6"/>
    <mergeCell ref="A8:D8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Normal="85" zoomScaleSheetLayoutView="100" zoomScalePageLayoutView="0" workbookViewId="0" topLeftCell="A13">
      <selection activeCell="E37" sqref="E37"/>
    </sheetView>
  </sheetViews>
  <sheetFormatPr defaultColWidth="9.140625" defaultRowHeight="12.75"/>
  <cols>
    <col min="1" max="1" width="13.57421875" style="0" bestFit="1" customWidth="1"/>
    <col min="2" max="2" width="45.8515625" style="0" bestFit="1" customWidth="1"/>
    <col min="3" max="5" width="13.57421875" style="0" bestFit="1" customWidth="1"/>
    <col min="6" max="6" width="10.421875" style="0" bestFit="1" customWidth="1"/>
  </cols>
  <sheetData>
    <row r="1" ht="24.75" customHeight="1">
      <c r="B1" s="117" t="s">
        <v>130</v>
      </c>
    </row>
    <row r="2" ht="27" customHeight="1">
      <c r="B2" s="356" t="s">
        <v>384</v>
      </c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65"/>
      <c r="B6" s="65"/>
      <c r="C6" s="66"/>
      <c r="D6" s="66"/>
      <c r="E6" s="66"/>
    </row>
    <row r="7" spans="1:5" ht="15.75">
      <c r="A7" s="1272" t="s">
        <v>1503</v>
      </c>
      <c r="B7" s="1272"/>
      <c r="C7" s="1272"/>
      <c r="D7" s="1272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134" t="s">
        <v>1504</v>
      </c>
      <c r="B10" s="1263"/>
      <c r="C10" s="1263"/>
      <c r="D10" s="1263"/>
      <c r="E10" s="1263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272" t="s">
        <v>992</v>
      </c>
      <c r="B13" s="1272"/>
      <c r="C13" s="1272"/>
      <c r="D13" s="1272"/>
      <c r="E13" s="67"/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5" ht="12.75">
      <c r="A16" s="1129" t="s">
        <v>1506</v>
      </c>
      <c r="B16" s="1129"/>
      <c r="C16" s="1129"/>
      <c r="D16" s="1129"/>
      <c r="E16" s="1129"/>
    </row>
    <row r="17" spans="1:5" ht="12.75">
      <c r="A17" s="1129" t="s">
        <v>994</v>
      </c>
      <c r="B17" s="1129"/>
      <c r="C17" s="1129"/>
      <c r="D17" s="1129"/>
      <c r="E17" s="1129"/>
    </row>
    <row r="18" spans="1:5" ht="12.75">
      <c r="A18" s="65"/>
      <c r="B18" s="65"/>
      <c r="C18" s="66"/>
      <c r="D18" s="66"/>
      <c r="E18" s="66"/>
    </row>
    <row r="19" spans="1:5" ht="12.75">
      <c r="A19" s="1129" t="s">
        <v>997</v>
      </c>
      <c r="B19" s="1129"/>
      <c r="C19" s="1129"/>
      <c r="D19" s="1129"/>
      <c r="E19" s="1129"/>
    </row>
    <row r="20" spans="1:5" ht="12.75">
      <c r="A20" s="25"/>
      <c r="B20" s="29"/>
      <c r="C20" s="33"/>
      <c r="D20" s="33"/>
      <c r="E20" s="33"/>
    </row>
    <row r="21" spans="1:5" ht="12.75">
      <c r="A21" s="1129" t="s">
        <v>1004</v>
      </c>
      <c r="B21" s="1129"/>
      <c r="C21" s="1129"/>
      <c r="D21" s="1129"/>
      <c r="E21" s="1129"/>
    </row>
    <row r="23" spans="1:8" ht="15.75">
      <c r="A23" s="1272" t="s">
        <v>162</v>
      </c>
      <c r="B23" s="1272"/>
      <c r="C23" s="1272"/>
      <c r="D23" s="1272"/>
      <c r="E23" s="71"/>
      <c r="F23" s="1319"/>
      <c r="G23" s="1319"/>
      <c r="H23" s="1319"/>
    </row>
    <row r="24" spans="1:5" ht="15.75">
      <c r="A24" s="78"/>
      <c r="B24" s="78"/>
      <c r="C24" s="78"/>
      <c r="D24" s="78"/>
      <c r="E24" s="79"/>
    </row>
    <row r="25" spans="1:5" ht="12.75">
      <c r="A25" s="1129" t="s">
        <v>190</v>
      </c>
      <c r="B25" s="1129"/>
      <c r="C25" s="1129"/>
      <c r="D25" s="1129"/>
      <c r="E25" s="1129"/>
    </row>
    <row r="27" spans="1:5" ht="15.75">
      <c r="A27" s="1272" t="s">
        <v>158</v>
      </c>
      <c r="B27" s="1272"/>
      <c r="C27" s="1272"/>
      <c r="D27" s="1272"/>
      <c r="E27" s="76"/>
    </row>
    <row r="29" spans="1:5" ht="12.75">
      <c r="A29" s="1129" t="s">
        <v>1515</v>
      </c>
      <c r="B29" s="1129"/>
      <c r="C29" s="1129"/>
      <c r="D29" s="1129"/>
      <c r="E29" s="1129"/>
    </row>
    <row r="30" spans="1:5" ht="12.75">
      <c r="A30" s="52"/>
      <c r="B30" s="52"/>
      <c r="C30" s="52"/>
      <c r="D30" s="52"/>
      <c r="E30" s="52"/>
    </row>
    <row r="31" spans="1:5" ht="12.75">
      <c r="A31" s="52"/>
      <c r="B31" s="52"/>
      <c r="C31" s="52"/>
      <c r="D31" s="52"/>
      <c r="E31" s="52"/>
    </row>
    <row r="32" spans="1:5" ht="12.75">
      <c r="A32" s="52"/>
      <c r="B32" s="52"/>
      <c r="C32" s="52"/>
      <c r="D32" s="52"/>
      <c r="E32" s="52"/>
    </row>
    <row r="33" spans="1:5" ht="12.75">
      <c r="A33" s="52"/>
      <c r="B33" s="52"/>
      <c r="C33" s="52"/>
      <c r="D33" s="52"/>
      <c r="E33" s="52"/>
    </row>
    <row r="35" spans="1:5" ht="15.75">
      <c r="A35" s="1272" t="s">
        <v>1516</v>
      </c>
      <c r="B35" s="1272"/>
      <c r="C35" s="1272"/>
      <c r="D35" s="1272"/>
      <c r="E35" s="76">
        <v>6725</v>
      </c>
    </row>
    <row r="37" spans="1:5" ht="15.75">
      <c r="A37" s="1268" t="s">
        <v>972</v>
      </c>
      <c r="B37" s="1268"/>
      <c r="C37" s="1268"/>
      <c r="D37" s="1268"/>
      <c r="E37" s="77">
        <f>+E35+E27+E23+E13+E7</f>
        <v>6725</v>
      </c>
    </row>
  </sheetData>
  <sheetProtection/>
  <mergeCells count="16">
    <mergeCell ref="A13:D13"/>
    <mergeCell ref="A16:E16"/>
    <mergeCell ref="A17:E17"/>
    <mergeCell ref="A19:E19"/>
    <mergeCell ref="A4:E4"/>
    <mergeCell ref="A5:E5"/>
    <mergeCell ref="A7:D7"/>
    <mergeCell ref="A10:E10"/>
    <mergeCell ref="F23:H23"/>
    <mergeCell ref="A29:E29"/>
    <mergeCell ref="A21:E21"/>
    <mergeCell ref="A23:D23"/>
    <mergeCell ref="A35:D35"/>
    <mergeCell ref="A37:D37"/>
    <mergeCell ref="A25:E25"/>
    <mergeCell ref="A27:D27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5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1"/>
  </sheetPr>
  <dimension ref="A1:L33"/>
  <sheetViews>
    <sheetView view="pageBreakPreview" zoomScaleNormal="90" zoomScaleSheetLayoutView="100" zoomScalePageLayoutView="0" workbookViewId="0" topLeftCell="A10">
      <selection activeCell="C26" sqref="C26"/>
    </sheetView>
  </sheetViews>
  <sheetFormatPr defaultColWidth="9.140625" defaultRowHeight="12.75"/>
  <cols>
    <col min="1" max="1" width="8.8515625" style="0" bestFit="1" customWidth="1"/>
    <col min="2" max="2" width="45.00390625" style="0" bestFit="1" customWidth="1"/>
    <col min="3" max="3" width="10.421875" style="0" bestFit="1" customWidth="1"/>
    <col min="4" max="4" width="10.28125" style="0" bestFit="1" customWidth="1"/>
    <col min="5" max="5" width="8.421875" style="0" bestFit="1" customWidth="1"/>
  </cols>
  <sheetData>
    <row r="1" ht="23.25" customHeight="1">
      <c r="B1" s="117" t="s">
        <v>130</v>
      </c>
    </row>
    <row r="2" ht="23.25" customHeight="1">
      <c r="B2" s="119" t="s">
        <v>386</v>
      </c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65"/>
      <c r="B6" s="65"/>
      <c r="C6" s="66"/>
      <c r="D6" s="66"/>
      <c r="E6" s="66"/>
    </row>
    <row r="7" spans="1:5" ht="15.75">
      <c r="A7" s="1272" t="s">
        <v>1503</v>
      </c>
      <c r="B7" s="1272"/>
      <c r="C7" s="1272"/>
      <c r="D7" s="1272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134" t="s">
        <v>1504</v>
      </c>
      <c r="B10" s="1263"/>
      <c r="C10" s="1263"/>
      <c r="D10" s="1263"/>
      <c r="E10" s="1263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272" t="s">
        <v>992</v>
      </c>
      <c r="B13" s="1272"/>
      <c r="C13" s="1272"/>
      <c r="D13" s="1272"/>
      <c r="E13" s="67"/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12" ht="27" customHeight="1">
      <c r="A16" s="1129" t="s">
        <v>1506</v>
      </c>
      <c r="B16" s="1129"/>
      <c r="C16" s="1129"/>
      <c r="D16" s="1129"/>
      <c r="E16" s="1129"/>
      <c r="K16">
        <v>0</v>
      </c>
      <c r="L16">
        <v>1</v>
      </c>
    </row>
    <row r="18" spans="1:5" ht="15.75">
      <c r="A18" s="1272" t="s">
        <v>162</v>
      </c>
      <c r="B18" s="1272"/>
      <c r="C18" s="1272"/>
      <c r="D18" s="1272"/>
      <c r="E18" s="71"/>
    </row>
    <row r="19" spans="1:5" ht="15.75">
      <c r="A19" s="78"/>
      <c r="B19" s="78"/>
      <c r="C19" s="78"/>
      <c r="D19" s="78"/>
      <c r="E19" s="79"/>
    </row>
    <row r="20" spans="1:5" ht="12.75">
      <c r="A20" s="1129" t="s">
        <v>190</v>
      </c>
      <c r="B20" s="1129"/>
      <c r="C20" s="1129"/>
      <c r="D20" s="1129"/>
      <c r="E20" s="1129"/>
    </row>
    <row r="22" spans="1:5" ht="15.75">
      <c r="A22" s="1272" t="s">
        <v>158</v>
      </c>
      <c r="B22" s="1272"/>
      <c r="C22" s="1272"/>
      <c r="D22" s="1272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129" t="s">
        <v>184</v>
      </c>
      <c r="B24" s="1129"/>
      <c r="C24" s="1129"/>
      <c r="D24" s="1129"/>
      <c r="E24" s="1129"/>
    </row>
    <row r="25" spans="1:5" ht="12.75">
      <c r="A25" s="85">
        <v>583125</v>
      </c>
      <c r="B25" s="82" t="s">
        <v>1097</v>
      </c>
      <c r="C25" s="84">
        <v>100000</v>
      </c>
      <c r="D25" s="84">
        <f>+ROUND(C25,-3)</f>
        <v>100000</v>
      </c>
      <c r="E25" s="83">
        <f>+D25/1000</f>
        <v>100</v>
      </c>
    </row>
    <row r="26" spans="1:5" ht="12.75">
      <c r="A26" s="61"/>
      <c r="B26" s="61" t="s">
        <v>1096</v>
      </c>
      <c r="C26" s="75">
        <v>100000</v>
      </c>
      <c r="D26" s="61"/>
      <c r="E26" s="61"/>
    </row>
    <row r="27" spans="1:5" ht="15.75">
      <c r="A27" s="1272" t="s">
        <v>189</v>
      </c>
      <c r="B27" s="1272"/>
      <c r="C27" s="1272"/>
      <c r="D27" s="1272"/>
      <c r="E27" s="76">
        <f>+E25</f>
        <v>100</v>
      </c>
    </row>
    <row r="28" spans="1:5" ht="12.75">
      <c r="A28" s="81"/>
      <c r="B28" s="81"/>
      <c r="C28" s="81"/>
      <c r="D28" s="81"/>
      <c r="E28" s="55"/>
    </row>
    <row r="29" spans="1:5" ht="12.75">
      <c r="A29" s="1129" t="s">
        <v>1515</v>
      </c>
      <c r="B29" s="1129"/>
      <c r="C29" s="1129"/>
      <c r="D29" s="1129"/>
      <c r="E29" s="1129"/>
    </row>
    <row r="31" spans="1:5" ht="15.75">
      <c r="A31" s="1272" t="s">
        <v>1516</v>
      </c>
      <c r="B31" s="1272"/>
      <c r="C31" s="1272"/>
      <c r="D31" s="1272"/>
      <c r="E31" s="76"/>
    </row>
    <row r="33" spans="1:5" ht="15.75">
      <c r="A33" s="1268" t="s">
        <v>972</v>
      </c>
      <c r="B33" s="1268"/>
      <c r="C33" s="1268"/>
      <c r="D33" s="1268"/>
      <c r="E33" s="77">
        <f>+E31+E22+E18+E13+E7+E27</f>
        <v>100</v>
      </c>
    </row>
  </sheetData>
  <sheetProtection/>
  <mergeCells count="14">
    <mergeCell ref="A16:E16"/>
    <mergeCell ref="A4:E4"/>
    <mergeCell ref="A5:E5"/>
    <mergeCell ref="A7:D7"/>
    <mergeCell ref="A10:E10"/>
    <mergeCell ref="A13:D13"/>
    <mergeCell ref="A18:D18"/>
    <mergeCell ref="A20:E20"/>
    <mergeCell ref="A31:D31"/>
    <mergeCell ref="A33:D33"/>
    <mergeCell ref="A22:D22"/>
    <mergeCell ref="A24:E24"/>
    <mergeCell ref="A27:D27"/>
    <mergeCell ref="A29:E29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U39"/>
  <sheetViews>
    <sheetView view="pageBreakPreview" zoomScale="95" zoomScaleNormal="85" zoomScaleSheetLayoutView="95" zoomScalePageLayoutView="0" workbookViewId="0" topLeftCell="A10">
      <pane xSplit="1" topLeftCell="B1" activePane="topRight" state="frozen"/>
      <selection pane="topLeft" activeCell="A4" sqref="A4"/>
      <selection pane="topRight" activeCell="A2" sqref="A2:T2"/>
    </sheetView>
  </sheetViews>
  <sheetFormatPr defaultColWidth="9.140625" defaultRowHeight="12.75"/>
  <cols>
    <col min="1" max="1" width="40.8515625" style="0" bestFit="1" customWidth="1"/>
    <col min="2" max="2" width="16.8515625" style="0" customWidth="1"/>
    <col min="3" max="3" width="14.28125" style="0" customWidth="1"/>
    <col min="4" max="4" width="14.7109375" style="0" customWidth="1"/>
    <col min="5" max="5" width="14.57421875" style="0" customWidth="1"/>
    <col min="6" max="6" width="15.140625" style="0" customWidth="1"/>
    <col min="7" max="7" width="13.8515625" style="0" customWidth="1"/>
    <col min="8" max="8" width="14.421875" style="0" customWidth="1"/>
    <col min="9" max="9" width="15.140625" style="0" customWidth="1"/>
    <col min="10" max="10" width="14.421875" style="0" customWidth="1"/>
    <col min="11" max="11" width="11.57421875" style="0" customWidth="1"/>
    <col min="12" max="12" width="14.28125" style="0" customWidth="1"/>
    <col min="13" max="13" width="14.140625" style="0" customWidth="1"/>
    <col min="14" max="14" width="15.57421875" style="0" customWidth="1"/>
    <col min="15" max="15" width="13.28125" style="0" customWidth="1"/>
    <col min="16" max="16" width="12.421875" style="0" customWidth="1"/>
    <col min="17" max="17" width="11.00390625" style="0" customWidth="1"/>
    <col min="18" max="18" width="13.57421875" style="0" customWidth="1"/>
    <col min="19" max="19" width="11.00390625" style="0" customWidth="1"/>
    <col min="20" max="20" width="8.57421875" style="0" customWidth="1"/>
    <col min="21" max="21" width="9.57421875" style="0" customWidth="1"/>
  </cols>
  <sheetData>
    <row r="1" spans="18:21" ht="12.75">
      <c r="R1" s="1361"/>
      <c r="S1" s="873"/>
      <c r="T1" s="1287" t="s">
        <v>1546</v>
      </c>
      <c r="U1" s="1129"/>
    </row>
    <row r="2" spans="1:20" ht="12.75">
      <c r="A2" s="1133" t="s">
        <v>1518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</row>
    <row r="3" spans="1:20" ht="42" customHeight="1">
      <c r="A3" s="1132" t="s">
        <v>1155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2"/>
      <c r="Q3" s="1132"/>
      <c r="R3" s="1132"/>
      <c r="S3" s="1132"/>
      <c r="T3" s="1132"/>
    </row>
    <row r="4" spans="1:20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122" t="s">
        <v>161</v>
      </c>
      <c r="S4" s="1122"/>
      <c r="T4" s="1122"/>
    </row>
    <row r="5" spans="1:21" ht="12.75">
      <c r="A5" s="1168" t="s">
        <v>451</v>
      </c>
      <c r="B5" s="1168" t="s">
        <v>1135</v>
      </c>
      <c r="C5" s="1168"/>
      <c r="D5" s="1168" t="s">
        <v>1022</v>
      </c>
      <c r="E5" s="1168"/>
      <c r="F5" s="1168" t="s">
        <v>1033</v>
      </c>
      <c r="G5" s="1168"/>
      <c r="H5" s="1168" t="s">
        <v>1024</v>
      </c>
      <c r="I5" s="1168"/>
      <c r="J5" s="1169" t="s">
        <v>1293</v>
      </c>
      <c r="K5" s="1170"/>
      <c r="L5" s="1170"/>
      <c r="M5" s="754"/>
      <c r="N5" s="1168" t="s">
        <v>535</v>
      </c>
      <c r="O5" s="1168"/>
      <c r="P5" s="1168" t="s">
        <v>1030</v>
      </c>
      <c r="Q5" s="1168"/>
      <c r="R5" s="1168" t="s">
        <v>1035</v>
      </c>
      <c r="S5" s="1168"/>
      <c r="T5" s="1176" t="s">
        <v>1021</v>
      </c>
      <c r="U5" s="1177"/>
    </row>
    <row r="6" spans="1:21" ht="27" customHeight="1">
      <c r="A6" s="1168"/>
      <c r="B6" s="1168"/>
      <c r="C6" s="1168"/>
      <c r="D6" s="1168"/>
      <c r="E6" s="1168"/>
      <c r="F6" s="1168"/>
      <c r="G6" s="1168"/>
      <c r="H6" s="1168"/>
      <c r="I6" s="1168"/>
      <c r="J6" s="1127" t="s">
        <v>262</v>
      </c>
      <c r="K6" s="1127"/>
      <c r="L6" s="1126" t="s">
        <v>263</v>
      </c>
      <c r="M6" s="1167"/>
      <c r="N6" s="1168"/>
      <c r="O6" s="1168"/>
      <c r="P6" s="1168"/>
      <c r="Q6" s="1168"/>
      <c r="R6" s="1168"/>
      <c r="S6" s="1168"/>
      <c r="T6" s="1178"/>
      <c r="U6" s="1179"/>
    </row>
    <row r="7" spans="1:21" ht="12.75">
      <c r="A7" s="1168"/>
      <c r="B7" s="168" t="s">
        <v>1023</v>
      </c>
      <c r="C7" s="168" t="s">
        <v>1114</v>
      </c>
      <c r="D7" s="168" t="s">
        <v>1023</v>
      </c>
      <c r="E7" s="168" t="s">
        <v>1114</v>
      </c>
      <c r="F7" s="168" t="s">
        <v>1023</v>
      </c>
      <c r="G7" s="168" t="s">
        <v>1114</v>
      </c>
      <c r="H7" s="168" t="s">
        <v>1023</v>
      </c>
      <c r="I7" s="168" t="s">
        <v>1114</v>
      </c>
      <c r="J7" s="168" t="s">
        <v>1023</v>
      </c>
      <c r="K7" s="168" t="s">
        <v>1114</v>
      </c>
      <c r="L7" s="168" t="s">
        <v>1023</v>
      </c>
      <c r="M7" s="168" t="s">
        <v>1114</v>
      </c>
      <c r="N7" s="168" t="s">
        <v>1023</v>
      </c>
      <c r="O7" s="168" t="s">
        <v>1114</v>
      </c>
      <c r="P7" s="168" t="s">
        <v>1023</v>
      </c>
      <c r="Q7" s="168" t="s">
        <v>1114</v>
      </c>
      <c r="R7" s="168" t="s">
        <v>1023</v>
      </c>
      <c r="S7" s="168" t="s">
        <v>1114</v>
      </c>
      <c r="T7" s="168" t="s">
        <v>1507</v>
      </c>
      <c r="U7" s="746" t="s">
        <v>264</v>
      </c>
    </row>
    <row r="8" spans="1:21" ht="12.75">
      <c r="A8" s="1164" t="s">
        <v>265</v>
      </c>
      <c r="B8" s="1165"/>
      <c r="C8" s="1165"/>
      <c r="D8" s="1165"/>
      <c r="E8" s="1165"/>
      <c r="F8" s="1165"/>
      <c r="G8" s="1165"/>
      <c r="H8" s="1165"/>
      <c r="I8" s="1165"/>
      <c r="J8" s="1165"/>
      <c r="K8" s="1165"/>
      <c r="L8" s="1165"/>
      <c r="M8" s="1165"/>
      <c r="N8" s="1165"/>
      <c r="O8" s="1165"/>
      <c r="P8" s="1165"/>
      <c r="Q8" s="1165"/>
      <c r="R8" s="1166"/>
      <c r="S8" s="1166"/>
      <c r="T8" s="1166"/>
      <c r="U8" s="169"/>
    </row>
    <row r="9" spans="1:21" ht="4.5" customHeight="1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2"/>
    </row>
    <row r="10" spans="1:21" ht="15.75" customHeight="1">
      <c r="A10" s="885" t="s">
        <v>562</v>
      </c>
      <c r="B10" s="173">
        <f>'841126-PHiv'!D50</f>
        <v>87587</v>
      </c>
      <c r="C10" s="173">
        <f>B10</f>
        <v>87587</v>
      </c>
      <c r="D10" s="173">
        <f>'841126-PHiv'!D52</f>
        <v>22156.74</v>
      </c>
      <c r="E10" s="173">
        <f>D10</f>
        <v>22156.74</v>
      </c>
      <c r="F10" s="47">
        <f>'841126-PHiv'!D110</f>
        <v>30717.05</v>
      </c>
      <c r="G10" s="47">
        <f>F10</f>
        <v>30717.05</v>
      </c>
      <c r="H10" s="47"/>
      <c r="I10" s="47"/>
      <c r="J10" s="47"/>
      <c r="K10" s="47"/>
      <c r="L10" s="47"/>
      <c r="M10" s="47"/>
      <c r="N10" s="47"/>
      <c r="O10" s="47"/>
      <c r="P10" s="309"/>
      <c r="Q10" s="175"/>
      <c r="R10" s="176">
        <f>B10+D10+F10+H10+J10+L10+N10+P10</f>
        <v>140460.79</v>
      </c>
      <c r="S10" s="176">
        <f>+C10+E10+G10+I10+K10+M10+O10+Q10</f>
        <v>140460.79</v>
      </c>
      <c r="T10" s="177">
        <v>37</v>
      </c>
      <c r="U10" s="178">
        <f>T10</f>
        <v>37</v>
      </c>
    </row>
    <row r="11" spans="1:21" ht="15.75" customHeight="1">
      <c r="A11" s="885" t="s">
        <v>74</v>
      </c>
      <c r="B11" s="173">
        <f>'841133-adó beszedése'!E22</f>
        <v>5685</v>
      </c>
      <c r="C11" s="173">
        <f>B11</f>
        <v>5685</v>
      </c>
      <c r="D11" s="173">
        <f>'841133-adó beszedése'!E26</f>
        <v>1413.45</v>
      </c>
      <c r="E11" s="173">
        <f>D11</f>
        <v>1413.45</v>
      </c>
      <c r="F11" s="173">
        <f>'841133-adó beszedése'!E32</f>
        <v>305.65</v>
      </c>
      <c r="G11" s="47">
        <f>F11</f>
        <v>305.65</v>
      </c>
      <c r="H11" s="173"/>
      <c r="I11" s="173"/>
      <c r="J11" s="173"/>
      <c r="K11" s="173"/>
      <c r="L11" s="173"/>
      <c r="M11" s="176"/>
      <c r="N11" s="176"/>
      <c r="O11" s="176"/>
      <c r="P11" s="1053"/>
      <c r="Q11" s="175"/>
      <c r="R11" s="176">
        <f>B11+D11+F11+H11+J11+L11+N11+P11</f>
        <v>7404.099999999999</v>
      </c>
      <c r="S11" s="176">
        <f>C11+E11+G11+I11+K11+M11+O11+Q11</f>
        <v>7404.099999999999</v>
      </c>
      <c r="T11" s="177">
        <v>3</v>
      </c>
      <c r="U11" s="178">
        <f>T11</f>
        <v>3</v>
      </c>
    </row>
    <row r="12" spans="1:21" ht="18" customHeight="1">
      <c r="A12" s="886" t="s">
        <v>266</v>
      </c>
      <c r="B12" s="173">
        <f>'841125-115-Elsőfokú ép. hatóság'!E26</f>
        <v>4193</v>
      </c>
      <c r="C12" s="173">
        <f>B12</f>
        <v>4193</v>
      </c>
      <c r="D12" s="173">
        <f>'841125-115-Elsőfokú ép. hatóság'!E30</f>
        <v>1058.94</v>
      </c>
      <c r="E12" s="173">
        <f>D12</f>
        <v>1058.94</v>
      </c>
      <c r="F12" s="173">
        <f>'841125-115-Elsőfokú ép. hatóság'!E38</f>
        <v>142.41</v>
      </c>
      <c r="G12" s="47">
        <f>F12</f>
        <v>142.41</v>
      </c>
      <c r="H12" s="173"/>
      <c r="I12" s="173"/>
      <c r="J12" s="173"/>
      <c r="K12" s="173"/>
      <c r="L12" s="173"/>
      <c r="M12" s="176"/>
      <c r="N12" s="176"/>
      <c r="O12" s="176"/>
      <c r="P12" s="175"/>
      <c r="Q12" s="175"/>
      <c r="R12" s="176">
        <f>B12+D12+F12+H12+J12+L12+N12+P12</f>
        <v>5394.35</v>
      </c>
      <c r="S12" s="176">
        <f>C12+E12+G12+I12+K12+M12+O12+Q12</f>
        <v>5394.35</v>
      </c>
      <c r="T12" s="177">
        <v>2</v>
      </c>
      <c r="U12" s="178">
        <f>T12</f>
        <v>2</v>
      </c>
    </row>
    <row r="13" spans="1:21" ht="16.5" customHeight="1">
      <c r="A13" s="145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6"/>
      <c r="N13" s="176"/>
      <c r="O13" s="176"/>
      <c r="P13" s="176"/>
      <c r="Q13" s="176"/>
      <c r="R13" s="176"/>
      <c r="S13" s="176">
        <f>+C13+E13+G13+I13+K13+M13+O13+Q13</f>
        <v>0</v>
      </c>
      <c r="T13" s="177"/>
      <c r="U13" s="178"/>
    </row>
    <row r="14" spans="1:21" ht="12.75">
      <c r="A14" s="213" t="s">
        <v>1148</v>
      </c>
      <c r="B14" s="179">
        <f aca="true" t="shared" si="0" ref="B14:G14">SUM(B10:B13)</f>
        <v>97465</v>
      </c>
      <c r="C14" s="179">
        <f t="shared" si="0"/>
        <v>97465</v>
      </c>
      <c r="D14" s="179">
        <f t="shared" si="0"/>
        <v>24629.13</v>
      </c>
      <c r="E14" s="179">
        <f t="shared" si="0"/>
        <v>24629.13</v>
      </c>
      <c r="F14" s="179">
        <f t="shared" si="0"/>
        <v>31165.11</v>
      </c>
      <c r="G14" s="179">
        <f t="shared" si="0"/>
        <v>31165.11</v>
      </c>
      <c r="H14" s="173"/>
      <c r="I14" s="173"/>
      <c r="J14" s="173"/>
      <c r="K14" s="173"/>
      <c r="L14" s="173"/>
      <c r="M14" s="604"/>
      <c r="N14" s="176"/>
      <c r="O14" s="176"/>
      <c r="P14" s="176"/>
      <c r="Q14" s="176"/>
      <c r="R14" s="876">
        <f aca="true" t="shared" si="1" ref="R14:S19">B14+D14+F14+H14+J14+L14+N14+P14</f>
        <v>153259.24</v>
      </c>
      <c r="S14" s="876">
        <f t="shared" si="1"/>
        <v>153259.24</v>
      </c>
      <c r="T14" s="1101">
        <f>SUM(T10:T13)</f>
        <v>42</v>
      </c>
      <c r="U14" s="1101">
        <f>SUM(U10:U13)</f>
        <v>42</v>
      </c>
    </row>
    <row r="15" spans="1:21" ht="15" customHeight="1">
      <c r="A15" s="886" t="s">
        <v>267</v>
      </c>
      <c r="B15" s="173">
        <f>'841112-117-Képviselőtestület'!E12</f>
        <v>3780</v>
      </c>
      <c r="C15" s="173">
        <f>B15</f>
        <v>3780</v>
      </c>
      <c r="D15" s="173">
        <f>'841112-117-Képviselőtestület'!E17</f>
        <v>1020.6</v>
      </c>
      <c r="E15" s="173">
        <f>D15</f>
        <v>1020.6</v>
      </c>
      <c r="F15" s="173">
        <f>'841112-117-Képviselőtestület'!E41</f>
        <v>2101</v>
      </c>
      <c r="G15" s="173">
        <f>F15</f>
        <v>2101</v>
      </c>
      <c r="H15" s="173"/>
      <c r="I15" s="173"/>
      <c r="J15" s="173"/>
      <c r="K15" s="173"/>
      <c r="L15" s="173"/>
      <c r="M15" s="176"/>
      <c r="N15" s="176"/>
      <c r="O15" s="176"/>
      <c r="P15" s="175"/>
      <c r="Q15" s="175"/>
      <c r="R15" s="176">
        <f t="shared" si="1"/>
        <v>6901.6</v>
      </c>
      <c r="S15" s="176">
        <f t="shared" si="1"/>
        <v>6901.6</v>
      </c>
      <c r="T15" s="177"/>
      <c r="U15" s="178"/>
    </row>
    <row r="16" spans="1:21" ht="12.75">
      <c r="A16" s="145" t="s">
        <v>393</v>
      </c>
      <c r="B16" s="173">
        <f>'862101-Háziorvosi alapellátás'!E27</f>
        <v>6168</v>
      </c>
      <c r="C16" s="173">
        <f>B16</f>
        <v>6168</v>
      </c>
      <c r="D16" s="173">
        <f>'862101-Háziorvosi alapellátás'!E34</f>
        <v>1503.3600000000001</v>
      </c>
      <c r="E16" s="173">
        <f>D16</f>
        <v>1503.3600000000001</v>
      </c>
      <c r="F16" s="173">
        <f>'862101-Háziorvosi alapellátás'!E45</f>
        <v>1648.77</v>
      </c>
      <c r="G16" s="173">
        <f aca="true" t="shared" si="2" ref="G16:G35">F16</f>
        <v>1648.77</v>
      </c>
      <c r="H16" s="173"/>
      <c r="I16" s="173"/>
      <c r="J16" s="173"/>
      <c r="K16" s="173"/>
      <c r="L16" s="173"/>
      <c r="M16" s="604"/>
      <c r="N16" s="176"/>
      <c r="O16" s="176"/>
      <c r="P16" s="176"/>
      <c r="Q16" s="176"/>
      <c r="R16" s="176">
        <f t="shared" si="1"/>
        <v>9320.130000000001</v>
      </c>
      <c r="S16" s="176">
        <f t="shared" si="1"/>
        <v>9320.130000000001</v>
      </c>
      <c r="T16" s="177">
        <v>2</v>
      </c>
      <c r="U16" s="177">
        <v>2</v>
      </c>
    </row>
    <row r="17" spans="1:21" ht="12.75">
      <c r="A17" s="145" t="s">
        <v>25</v>
      </c>
      <c r="B17" s="173">
        <f>'869041-Védőnő1'!E23+'869042-Védőnő2'!E23</f>
        <v>8169</v>
      </c>
      <c r="C17" s="173">
        <f>B17</f>
        <v>8169</v>
      </c>
      <c r="D17" s="173">
        <f>'869041-Védőnő1'!E30+'869042-Védőnő2'!E30</f>
        <v>2205</v>
      </c>
      <c r="E17" s="173">
        <f>D17</f>
        <v>2205</v>
      </c>
      <c r="F17" s="173">
        <f>'869042-Védőnő2'!E44</f>
        <v>2709.84</v>
      </c>
      <c r="G17" s="173">
        <f t="shared" si="2"/>
        <v>2709.84</v>
      </c>
      <c r="H17" s="173"/>
      <c r="I17" s="173"/>
      <c r="J17" s="173"/>
      <c r="K17" s="173"/>
      <c r="L17" s="173"/>
      <c r="M17" s="604"/>
      <c r="N17" s="176"/>
      <c r="O17" s="176"/>
      <c r="P17" s="176"/>
      <c r="Q17" s="176"/>
      <c r="R17" s="176">
        <f t="shared" si="1"/>
        <v>13083.84</v>
      </c>
      <c r="S17" s="176">
        <f t="shared" si="1"/>
        <v>13083.84</v>
      </c>
      <c r="T17" s="177">
        <v>4</v>
      </c>
      <c r="U17" s="177">
        <v>4</v>
      </c>
    </row>
    <row r="18" spans="1:21" ht="12.75">
      <c r="A18" s="145" t="s">
        <v>276</v>
      </c>
      <c r="B18" s="173">
        <f>'890441-Közcélú 2012'!D30</f>
        <v>114137</v>
      </c>
      <c r="C18" s="173">
        <f>B18</f>
        <v>114137</v>
      </c>
      <c r="D18" s="173">
        <f>'890441-Közcélú 2012'!D35</f>
        <v>15409</v>
      </c>
      <c r="E18" s="173">
        <f>D18</f>
        <v>15409</v>
      </c>
      <c r="F18" s="173">
        <f>'890441-Közcélú 2012'!D43</f>
        <v>19219</v>
      </c>
      <c r="G18" s="173">
        <f t="shared" si="2"/>
        <v>19219</v>
      </c>
      <c r="H18" s="173"/>
      <c r="I18" s="173"/>
      <c r="J18" s="173"/>
      <c r="K18" s="173"/>
      <c r="L18" s="173"/>
      <c r="M18" s="47"/>
      <c r="N18" s="47"/>
      <c r="O18" s="47"/>
      <c r="P18" s="47"/>
      <c r="Q18" s="47"/>
      <c r="R18" s="176">
        <f t="shared" si="1"/>
        <v>148765</v>
      </c>
      <c r="S18" s="176">
        <f t="shared" si="1"/>
        <v>148765</v>
      </c>
      <c r="T18" s="1103">
        <v>123</v>
      </c>
      <c r="U18" s="1103">
        <v>123</v>
      </c>
    </row>
    <row r="19" spans="1:21" ht="12.75">
      <c r="A19" s="145" t="s">
        <v>1321</v>
      </c>
      <c r="B19" s="173">
        <f>'841126-116-Önk. igazgatás'!E8</f>
        <v>1200</v>
      </c>
      <c r="C19" s="173">
        <f>B19</f>
        <v>1200</v>
      </c>
      <c r="D19" s="173">
        <f>'841126-116-Önk. igazgatás'!E9</f>
        <v>324</v>
      </c>
      <c r="E19" s="173">
        <f>D19</f>
        <v>324</v>
      </c>
      <c r="F19" s="173">
        <f>'841126-116-Önk. igazgatás'!E73</f>
        <v>10655</v>
      </c>
      <c r="G19" s="173">
        <f t="shared" si="2"/>
        <v>10655</v>
      </c>
      <c r="H19" s="173"/>
      <c r="I19" s="173"/>
      <c r="J19" s="173">
        <f>'841126-116-Önk. igazgatás'!E84</f>
        <v>12342</v>
      </c>
      <c r="K19" s="173">
        <f>3bm!D18</f>
        <v>8402</v>
      </c>
      <c r="L19" s="173">
        <f>'841126-116-Önk. igazgatás'!E111</f>
        <v>89611</v>
      </c>
      <c r="M19" s="1055">
        <f>3bm!D40</f>
        <v>82939</v>
      </c>
      <c r="N19" s="173"/>
      <c r="O19" s="176"/>
      <c r="P19" s="176"/>
      <c r="Q19" s="176"/>
      <c r="R19" s="176">
        <f t="shared" si="1"/>
        <v>114132</v>
      </c>
      <c r="S19" s="176">
        <f t="shared" si="1"/>
        <v>103520</v>
      </c>
      <c r="T19" s="177"/>
      <c r="U19" s="178"/>
    </row>
    <row r="20" spans="1:21" ht="18" customHeight="1">
      <c r="A20" s="145" t="s">
        <v>268</v>
      </c>
      <c r="B20" s="173"/>
      <c r="C20" s="173"/>
      <c r="D20" s="173"/>
      <c r="E20" s="173"/>
      <c r="F20" s="173"/>
      <c r="G20" s="173">
        <f t="shared" si="2"/>
        <v>0</v>
      </c>
      <c r="H20" s="173"/>
      <c r="I20" s="173"/>
      <c r="J20" s="173"/>
      <c r="K20" s="173"/>
      <c r="L20" s="173"/>
      <c r="M20" s="154"/>
      <c r="N20" s="173">
        <f>'841126-Finanszírozási műveletek'!D16</f>
        <v>213346.15594000003</v>
      </c>
      <c r="O20" s="176">
        <f>N20</f>
        <v>213346.15594000003</v>
      </c>
      <c r="P20" s="176"/>
      <c r="Q20" s="176"/>
      <c r="R20" s="176">
        <f aca="true" t="shared" si="3" ref="R20:S36">B20+D20+F20+H20+J20+L20+N20+P20</f>
        <v>213346.15594000003</v>
      </c>
      <c r="S20" s="176">
        <f t="shared" si="3"/>
        <v>213346.15594000003</v>
      </c>
      <c r="T20" s="177"/>
      <c r="U20" s="178"/>
    </row>
    <row r="21" spans="1:21" ht="14.25" customHeight="1">
      <c r="A21" s="145" t="s">
        <v>1508</v>
      </c>
      <c r="B21" s="173"/>
      <c r="C21" s="173"/>
      <c r="D21" s="173"/>
      <c r="E21" s="173"/>
      <c r="F21" s="173">
        <f>'680001-Lakásgazd. '!E27</f>
        <v>16378.86</v>
      </c>
      <c r="G21" s="173">
        <f t="shared" si="2"/>
        <v>16378.86</v>
      </c>
      <c r="H21" s="173"/>
      <c r="I21" s="173"/>
      <c r="J21" s="173"/>
      <c r="K21" s="173"/>
      <c r="L21" s="173"/>
      <c r="M21" s="47"/>
      <c r="N21" s="173"/>
      <c r="O21" s="47"/>
      <c r="P21" s="47"/>
      <c r="Q21" s="47"/>
      <c r="R21" s="176">
        <f t="shared" si="3"/>
        <v>16378.86</v>
      </c>
      <c r="S21" s="176">
        <f t="shared" si="3"/>
        <v>16378.86</v>
      </c>
      <c r="T21" s="177"/>
      <c r="U21" s="178"/>
    </row>
    <row r="22" spans="1:21" ht="12.75">
      <c r="A22" s="145" t="s">
        <v>269</v>
      </c>
      <c r="B22" s="173"/>
      <c r="C22" s="173"/>
      <c r="D22" s="173"/>
      <c r="E22" s="173"/>
      <c r="F22" s="173">
        <f>'842531-Polgári védelem'!E23</f>
        <v>249.82</v>
      </c>
      <c r="G22" s="173">
        <f t="shared" si="2"/>
        <v>249.82</v>
      </c>
      <c r="H22" s="173"/>
      <c r="I22" s="173"/>
      <c r="J22" s="173"/>
      <c r="K22" s="173"/>
      <c r="L22" s="173"/>
      <c r="M22" s="47"/>
      <c r="N22" s="47"/>
      <c r="O22" s="47"/>
      <c r="P22" s="47"/>
      <c r="Q22" s="47"/>
      <c r="R22" s="176">
        <f t="shared" si="3"/>
        <v>249.82</v>
      </c>
      <c r="S22" s="176">
        <f t="shared" si="3"/>
        <v>249.82</v>
      </c>
      <c r="T22" s="177"/>
      <c r="U22" s="178"/>
    </row>
    <row r="23" spans="1:21" ht="12.75">
      <c r="A23" s="275" t="s">
        <v>270</v>
      </c>
      <c r="B23" s="173"/>
      <c r="C23" s="173"/>
      <c r="D23" s="173"/>
      <c r="E23" s="173"/>
      <c r="F23" s="173">
        <f>'841403- Városgazdálkodás'!E37</f>
        <v>7506.97</v>
      </c>
      <c r="G23" s="173">
        <f t="shared" si="2"/>
        <v>7506.97</v>
      </c>
      <c r="H23" s="173"/>
      <c r="I23" s="173"/>
      <c r="J23" s="173"/>
      <c r="K23" s="173"/>
      <c r="L23" s="173"/>
      <c r="M23" s="47"/>
      <c r="N23" s="47"/>
      <c r="O23" s="47"/>
      <c r="P23" s="47"/>
      <c r="Q23" s="47"/>
      <c r="R23" s="176">
        <f t="shared" si="3"/>
        <v>7506.97</v>
      </c>
      <c r="S23" s="176">
        <f t="shared" si="3"/>
        <v>7506.97</v>
      </c>
      <c r="T23" s="177"/>
      <c r="U23" s="178"/>
    </row>
    <row r="24" spans="1:21" ht="12.75">
      <c r="A24" s="145" t="s">
        <v>272</v>
      </c>
      <c r="B24" s="173"/>
      <c r="C24" s="173"/>
      <c r="D24" s="173"/>
      <c r="E24" s="173"/>
      <c r="F24" s="173">
        <f>'841402-Közvilágítás'!E19</f>
        <v>17101.82</v>
      </c>
      <c r="G24" s="173">
        <f t="shared" si="2"/>
        <v>17101.82</v>
      </c>
      <c r="H24" s="173"/>
      <c r="I24" s="173"/>
      <c r="J24" s="173"/>
      <c r="K24" s="173"/>
      <c r="L24" s="173"/>
      <c r="M24" s="47"/>
      <c r="N24" s="47"/>
      <c r="O24" s="47"/>
      <c r="P24" s="47"/>
      <c r="Q24" s="47"/>
      <c r="R24" s="176">
        <f>B24+D24+F24+H24+J24+L24+N24+P24</f>
        <v>17101.82</v>
      </c>
      <c r="S24" s="176">
        <f>C24+E24+G24+I24+K24+M24+O24+Q24</f>
        <v>17101.82</v>
      </c>
      <c r="T24" s="177"/>
      <c r="U24" s="178"/>
    </row>
    <row r="25" spans="1:21" ht="12.75">
      <c r="A25" s="145" t="s">
        <v>273</v>
      </c>
      <c r="B25" s="173"/>
      <c r="C25" s="173"/>
      <c r="D25" s="173"/>
      <c r="E25" s="173"/>
      <c r="F25" s="173"/>
      <c r="G25" s="173">
        <f t="shared" si="2"/>
        <v>0</v>
      </c>
      <c r="H25" s="173"/>
      <c r="I25" s="173"/>
      <c r="J25" s="173"/>
      <c r="K25" s="173"/>
      <c r="L25" s="173"/>
      <c r="M25" s="181"/>
      <c r="N25" s="47"/>
      <c r="O25" s="47"/>
      <c r="P25" s="47"/>
      <c r="Q25" s="47"/>
      <c r="R25" s="176">
        <f t="shared" si="3"/>
        <v>0</v>
      </c>
      <c r="S25" s="176">
        <f t="shared" si="3"/>
        <v>0</v>
      </c>
      <c r="T25" s="177"/>
      <c r="U25" s="178"/>
    </row>
    <row r="26" spans="1:21" ht="12.75">
      <c r="A26" s="145" t="s">
        <v>274</v>
      </c>
      <c r="B26" s="173"/>
      <c r="C26" s="173"/>
      <c r="D26" s="173"/>
      <c r="E26" s="173"/>
      <c r="F26" s="173"/>
      <c r="G26" s="173">
        <f t="shared" si="2"/>
        <v>0</v>
      </c>
      <c r="H26" s="173">
        <f>3am!B19</f>
        <v>112136</v>
      </c>
      <c r="I26" s="173">
        <f>3am!C19</f>
        <v>112136</v>
      </c>
      <c r="J26" s="173"/>
      <c r="K26" s="173"/>
      <c r="L26" s="173"/>
      <c r="M26" s="47"/>
      <c r="N26" s="47"/>
      <c r="O26" s="47"/>
      <c r="P26" s="47"/>
      <c r="Q26" s="47"/>
      <c r="R26" s="176">
        <f t="shared" si="3"/>
        <v>112136</v>
      </c>
      <c r="S26" s="176">
        <f t="shared" si="3"/>
        <v>112136</v>
      </c>
      <c r="T26" s="177"/>
      <c r="U26" s="178"/>
    </row>
    <row r="27" spans="1:21" ht="12.75">
      <c r="A27" s="145" t="s">
        <v>275</v>
      </c>
      <c r="B27" s="173"/>
      <c r="C27" s="173"/>
      <c r="D27" s="173"/>
      <c r="E27" s="173"/>
      <c r="F27" s="173"/>
      <c r="G27" s="173">
        <f t="shared" si="2"/>
        <v>0</v>
      </c>
      <c r="H27" s="173">
        <f>+3am!B33</f>
        <v>10206</v>
      </c>
      <c r="I27" s="173">
        <f>+3am!C33</f>
        <v>10206</v>
      </c>
      <c r="J27" s="173"/>
      <c r="K27" s="173"/>
      <c r="L27" s="173"/>
      <c r="M27" s="47"/>
      <c r="N27" s="47"/>
      <c r="O27" s="47"/>
      <c r="P27" s="47"/>
      <c r="Q27" s="47"/>
      <c r="R27" s="176">
        <f t="shared" si="3"/>
        <v>10206</v>
      </c>
      <c r="S27" s="176">
        <f t="shared" si="3"/>
        <v>10206</v>
      </c>
      <c r="T27" s="177"/>
      <c r="U27" s="178"/>
    </row>
    <row r="28" spans="1:21" ht="12.75">
      <c r="A28" s="145" t="s">
        <v>791</v>
      </c>
      <c r="B28" s="173"/>
      <c r="C28" s="173"/>
      <c r="D28" s="173"/>
      <c r="E28" s="173"/>
      <c r="F28" s="173">
        <f>'602000-CSTV'!E16</f>
        <v>15322.272</v>
      </c>
      <c r="G28" s="173">
        <f t="shared" si="2"/>
        <v>15322.272</v>
      </c>
      <c r="H28" s="173"/>
      <c r="I28" s="173"/>
      <c r="J28" s="173"/>
      <c r="K28" s="173"/>
      <c r="L28" s="173"/>
      <c r="M28" s="47"/>
      <c r="N28" s="47"/>
      <c r="O28" s="47"/>
      <c r="P28" s="47"/>
      <c r="Q28" s="47"/>
      <c r="R28" s="176">
        <f t="shared" si="3"/>
        <v>15322.272</v>
      </c>
      <c r="S28" s="176">
        <f t="shared" si="3"/>
        <v>15322.272</v>
      </c>
      <c r="T28" s="177"/>
      <c r="U28" s="178"/>
    </row>
    <row r="29" spans="1:21" ht="12.75">
      <c r="A29" s="275" t="s">
        <v>50</v>
      </c>
      <c r="B29" s="173"/>
      <c r="C29" s="173"/>
      <c r="D29" s="173"/>
      <c r="E29" s="173"/>
      <c r="F29" s="173"/>
      <c r="G29" s="173">
        <f t="shared" si="2"/>
        <v>0</v>
      </c>
      <c r="H29" s="173"/>
      <c r="I29" s="173"/>
      <c r="J29" s="173"/>
      <c r="K29" s="173"/>
      <c r="L29" s="173"/>
      <c r="M29" s="47"/>
      <c r="N29" s="47"/>
      <c r="O29" s="47"/>
      <c r="P29" s="47"/>
      <c r="Q29" s="47"/>
      <c r="R29" s="176">
        <f t="shared" si="3"/>
        <v>0</v>
      </c>
      <c r="S29" s="176">
        <f t="shared" si="3"/>
        <v>0</v>
      </c>
      <c r="T29" s="177"/>
      <c r="U29" s="183"/>
    </row>
    <row r="30" spans="1:21" ht="12.75">
      <c r="A30" s="275" t="s">
        <v>335</v>
      </c>
      <c r="B30" s="173"/>
      <c r="C30" s="173"/>
      <c r="D30" s="173"/>
      <c r="E30" s="173"/>
      <c r="F30" s="173">
        <f>'841126-116-Önk. igazgatás'!E74</f>
        <v>7949</v>
      </c>
      <c r="G30" s="173">
        <f t="shared" si="2"/>
        <v>7949</v>
      </c>
      <c r="H30" s="173"/>
      <c r="I30" s="173"/>
      <c r="J30" s="173"/>
      <c r="K30" s="173"/>
      <c r="L30" s="173"/>
      <c r="M30" s="47"/>
      <c r="N30" s="47"/>
      <c r="O30" s="47"/>
      <c r="P30" s="47"/>
      <c r="Q30" s="47"/>
      <c r="R30" s="176">
        <f t="shared" si="3"/>
        <v>7949</v>
      </c>
      <c r="S30" s="176">
        <f t="shared" si="3"/>
        <v>7949</v>
      </c>
      <c r="T30" s="177"/>
      <c r="U30" s="183"/>
    </row>
    <row r="31" spans="1:21" ht="12.75">
      <c r="A31" s="275" t="s">
        <v>1339</v>
      </c>
      <c r="B31" s="173">
        <v>2534</v>
      </c>
      <c r="C31" s="173">
        <f>B31</f>
        <v>2534</v>
      </c>
      <c r="D31" s="173">
        <v>684</v>
      </c>
      <c r="E31" s="173">
        <f>D31</f>
        <v>684</v>
      </c>
      <c r="F31" s="173">
        <v>9955</v>
      </c>
      <c r="G31" s="173">
        <f t="shared" si="2"/>
        <v>9955</v>
      </c>
      <c r="H31" s="173"/>
      <c r="I31" s="173"/>
      <c r="J31" s="173"/>
      <c r="K31" s="173"/>
      <c r="L31" s="173"/>
      <c r="M31" s="47"/>
      <c r="N31" s="47"/>
      <c r="O31" s="47"/>
      <c r="P31" s="47"/>
      <c r="Q31" s="47"/>
      <c r="R31" s="176">
        <f t="shared" si="3"/>
        <v>13173</v>
      </c>
      <c r="S31" s="176">
        <f t="shared" si="3"/>
        <v>13173</v>
      </c>
      <c r="T31" s="177">
        <v>2</v>
      </c>
      <c r="U31" s="177">
        <v>2</v>
      </c>
    </row>
    <row r="32" spans="1:21" ht="12.75">
      <c r="A32" s="275" t="s">
        <v>1340</v>
      </c>
      <c r="B32" s="173">
        <v>17530</v>
      </c>
      <c r="C32" s="173">
        <f>B32</f>
        <v>17530</v>
      </c>
      <c r="D32" s="173">
        <v>4704</v>
      </c>
      <c r="E32" s="173">
        <f>D32</f>
        <v>4704</v>
      </c>
      <c r="F32" s="173">
        <v>29287</v>
      </c>
      <c r="G32" s="173">
        <f t="shared" si="2"/>
        <v>29287</v>
      </c>
      <c r="H32" s="173"/>
      <c r="I32" s="173"/>
      <c r="J32" s="173"/>
      <c r="K32" s="173"/>
      <c r="L32" s="173"/>
      <c r="M32" s="47"/>
      <c r="N32" s="47"/>
      <c r="O32" s="47"/>
      <c r="P32" s="47"/>
      <c r="Q32" s="47"/>
      <c r="R32" s="176">
        <f t="shared" si="3"/>
        <v>51521</v>
      </c>
      <c r="S32" s="176">
        <f t="shared" si="3"/>
        <v>51521</v>
      </c>
      <c r="T32" s="177">
        <v>13</v>
      </c>
      <c r="U32" s="177">
        <v>13</v>
      </c>
    </row>
    <row r="33" spans="1:21" ht="12.75">
      <c r="A33" s="275" t="s">
        <v>1344</v>
      </c>
      <c r="B33" s="173"/>
      <c r="C33" s="173"/>
      <c r="D33" s="173"/>
      <c r="E33" s="173"/>
      <c r="F33" s="173">
        <v>4239</v>
      </c>
      <c r="G33" s="173">
        <f t="shared" si="2"/>
        <v>4239</v>
      </c>
      <c r="H33" s="173"/>
      <c r="I33" s="173"/>
      <c r="J33" s="173"/>
      <c r="K33" s="173"/>
      <c r="L33" s="173"/>
      <c r="M33" s="47"/>
      <c r="N33" s="47"/>
      <c r="O33" s="47"/>
      <c r="P33" s="47"/>
      <c r="Q33" s="47"/>
      <c r="R33" s="176">
        <f t="shared" si="3"/>
        <v>4239</v>
      </c>
      <c r="S33" s="176">
        <f t="shared" si="3"/>
        <v>4239</v>
      </c>
      <c r="T33" s="177"/>
      <c r="U33" s="183"/>
    </row>
    <row r="34" spans="1:21" ht="12.75">
      <c r="A34" s="14" t="s">
        <v>1345</v>
      </c>
      <c r="B34" s="173"/>
      <c r="C34" s="173"/>
      <c r="D34" s="173"/>
      <c r="E34" s="173"/>
      <c r="F34" s="173">
        <v>19214</v>
      </c>
      <c r="G34" s="173">
        <f t="shared" si="2"/>
        <v>19214</v>
      </c>
      <c r="H34" s="173"/>
      <c r="I34" s="173"/>
      <c r="J34" s="173"/>
      <c r="K34" s="173"/>
      <c r="L34" s="173"/>
      <c r="M34" s="47"/>
      <c r="N34" s="47"/>
      <c r="O34" s="47"/>
      <c r="P34" s="47"/>
      <c r="Q34" s="47"/>
      <c r="R34" s="176">
        <f t="shared" si="3"/>
        <v>19214</v>
      </c>
      <c r="S34" s="176">
        <f t="shared" si="3"/>
        <v>19214</v>
      </c>
      <c r="T34" s="177"/>
      <c r="U34" s="183"/>
    </row>
    <row r="35" spans="1:21" ht="12.75">
      <c r="A35" s="14" t="s">
        <v>1346</v>
      </c>
      <c r="B35" s="173"/>
      <c r="C35" s="173"/>
      <c r="D35" s="173"/>
      <c r="E35" s="173"/>
      <c r="F35" s="173">
        <v>962</v>
      </c>
      <c r="G35" s="173">
        <f t="shared" si="2"/>
        <v>962</v>
      </c>
      <c r="H35" s="173"/>
      <c r="I35" s="173"/>
      <c r="J35" s="173"/>
      <c r="K35" s="173"/>
      <c r="L35" s="173"/>
      <c r="M35" s="47"/>
      <c r="N35" s="47"/>
      <c r="O35" s="47"/>
      <c r="P35" s="47"/>
      <c r="Q35" s="47"/>
      <c r="R35" s="176">
        <f t="shared" si="3"/>
        <v>962</v>
      </c>
      <c r="S35" s="176">
        <f t="shared" si="3"/>
        <v>962</v>
      </c>
      <c r="T35" s="177"/>
      <c r="U35" s="183"/>
    </row>
    <row r="36" spans="1:21" ht="12.75">
      <c r="A36" s="14" t="s">
        <v>1539</v>
      </c>
      <c r="B36" s="173">
        <v>0</v>
      </c>
      <c r="C36" s="173">
        <v>4606</v>
      </c>
      <c r="D36" s="173">
        <v>0</v>
      </c>
      <c r="E36" s="173">
        <v>1232</v>
      </c>
      <c r="F36" s="173">
        <v>0</v>
      </c>
      <c r="G36" s="173">
        <f>8092+6556</f>
        <v>14648</v>
      </c>
      <c r="H36" s="173"/>
      <c r="I36" s="173"/>
      <c r="J36" s="173"/>
      <c r="K36" s="173"/>
      <c r="L36" s="173"/>
      <c r="M36" s="47"/>
      <c r="N36" s="47"/>
      <c r="O36" s="47"/>
      <c r="P36" s="47"/>
      <c r="Q36" s="47"/>
      <c r="R36" s="176">
        <f t="shared" si="3"/>
        <v>0</v>
      </c>
      <c r="S36" s="176">
        <f t="shared" si="3"/>
        <v>20486</v>
      </c>
      <c r="T36" s="177">
        <v>0</v>
      </c>
      <c r="U36" s="183">
        <v>6</v>
      </c>
    </row>
    <row r="37" spans="1:21" s="10" customFormat="1" ht="12.75">
      <c r="A37" s="53" t="s">
        <v>1369</v>
      </c>
      <c r="B37" s="184">
        <f>SUM(B15:B36)</f>
        <v>153518</v>
      </c>
      <c r="C37" s="184">
        <f aca="true" t="shared" si="4" ref="C37:Q37">SUM(C15:C36)</f>
        <v>158124</v>
      </c>
      <c r="D37" s="184">
        <f t="shared" si="4"/>
        <v>25849.96</v>
      </c>
      <c r="E37" s="184">
        <f t="shared" si="4"/>
        <v>27081.96</v>
      </c>
      <c r="F37" s="184">
        <f>SUM(F15:F36)+1</f>
        <v>164500.352</v>
      </c>
      <c r="G37" s="184">
        <f>SUM(G15:G36)+1</f>
        <v>179148.352</v>
      </c>
      <c r="H37" s="184">
        <f t="shared" si="4"/>
        <v>122342</v>
      </c>
      <c r="I37" s="184">
        <f t="shared" si="4"/>
        <v>122342</v>
      </c>
      <c r="J37" s="184">
        <f t="shared" si="4"/>
        <v>12342</v>
      </c>
      <c r="K37" s="184">
        <f t="shared" si="4"/>
        <v>8402</v>
      </c>
      <c r="L37" s="184">
        <f t="shared" si="4"/>
        <v>89611</v>
      </c>
      <c r="M37" s="184">
        <f t="shared" si="4"/>
        <v>82939</v>
      </c>
      <c r="N37" s="184">
        <f t="shared" si="4"/>
        <v>213346.15594000003</v>
      </c>
      <c r="O37" s="184">
        <f t="shared" si="4"/>
        <v>213346.15594000003</v>
      </c>
      <c r="P37" s="184">
        <f t="shared" si="4"/>
        <v>0</v>
      </c>
      <c r="Q37" s="184">
        <f t="shared" si="4"/>
        <v>0</v>
      </c>
      <c r="R37" s="876">
        <f>B37+D37+F37+H37+J37+L37+N37+P37</f>
        <v>781509.4679400001</v>
      </c>
      <c r="S37" s="876">
        <f>C37+E37+G37+I37+K37+M37+O37+Q37</f>
        <v>791383.4679400001</v>
      </c>
      <c r="T37" s="185">
        <f>SUM(T15:T36)</f>
        <v>144</v>
      </c>
      <c r="U37" s="185">
        <f>SUM(U15:U36)</f>
        <v>150</v>
      </c>
    </row>
    <row r="38" spans="1:21" ht="12.7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417"/>
      <c r="S38" s="187"/>
      <c r="T38" s="188"/>
      <c r="U38" s="189"/>
    </row>
    <row r="39" spans="1:21" s="10" customFormat="1" ht="36">
      <c r="A39" s="875" t="s">
        <v>1154</v>
      </c>
      <c r="B39" s="184">
        <f>B14+B37</f>
        <v>250983</v>
      </c>
      <c r="C39" s="184">
        <f aca="true" t="shared" si="5" ref="C39:U39">C14+C37</f>
        <v>255589</v>
      </c>
      <c r="D39" s="184">
        <f t="shared" si="5"/>
        <v>50479.09</v>
      </c>
      <c r="E39" s="184">
        <f t="shared" si="5"/>
        <v>51711.09</v>
      </c>
      <c r="F39" s="184">
        <f t="shared" si="5"/>
        <v>195665.462</v>
      </c>
      <c r="G39" s="184">
        <f t="shared" si="5"/>
        <v>210313.462</v>
      </c>
      <c r="H39" s="184">
        <f t="shared" si="5"/>
        <v>122342</v>
      </c>
      <c r="I39" s="184">
        <f t="shared" si="5"/>
        <v>122342</v>
      </c>
      <c r="J39" s="184">
        <f t="shared" si="5"/>
        <v>12342</v>
      </c>
      <c r="K39" s="184">
        <f t="shared" si="5"/>
        <v>8402</v>
      </c>
      <c r="L39" s="184">
        <f t="shared" si="5"/>
        <v>89611</v>
      </c>
      <c r="M39" s="184">
        <f t="shared" si="5"/>
        <v>82939</v>
      </c>
      <c r="N39" s="184">
        <f t="shared" si="5"/>
        <v>213346.15594000003</v>
      </c>
      <c r="O39" s="184">
        <f t="shared" si="5"/>
        <v>213346.15594000003</v>
      </c>
      <c r="P39" s="184">
        <f t="shared" si="5"/>
        <v>0</v>
      </c>
      <c r="Q39" s="184">
        <f t="shared" si="5"/>
        <v>0</v>
      </c>
      <c r="R39" s="184">
        <f>R14+R37-1</f>
        <v>934767.7079400001</v>
      </c>
      <c r="S39" s="184">
        <f>S14+S37-1</f>
        <v>944641.7079400001</v>
      </c>
      <c r="T39" s="892">
        <f t="shared" si="5"/>
        <v>186</v>
      </c>
      <c r="U39" s="892">
        <f t="shared" si="5"/>
        <v>192</v>
      </c>
    </row>
  </sheetData>
  <sheetProtection/>
  <mergeCells count="17">
    <mergeCell ref="T5:U6"/>
    <mergeCell ref="T1:U1"/>
    <mergeCell ref="A5:A7"/>
    <mergeCell ref="J5:L5"/>
    <mergeCell ref="N5:O6"/>
    <mergeCell ref="A2:T2"/>
    <mergeCell ref="A3:T3"/>
    <mergeCell ref="R4:T4"/>
    <mergeCell ref="A8:T8"/>
    <mergeCell ref="L6:M6"/>
    <mergeCell ref="J6:K6"/>
    <mergeCell ref="B5:C6"/>
    <mergeCell ref="D5:E6"/>
    <mergeCell ref="F5:G6"/>
    <mergeCell ref="H5:I6"/>
    <mergeCell ref="P5:Q6"/>
    <mergeCell ref="R5:S6"/>
  </mergeCells>
  <printOptions/>
  <pageMargins left="0.7874015748031497" right="0.7874015748031497" top="1.1811023622047245" bottom="0.7874015748031497" header="0" footer="0"/>
  <pageSetup horizontalDpi="300" verticalDpi="300" orientation="landscape" paperSize="9" scale="4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1"/>
  </sheetPr>
  <dimension ref="A1:G37"/>
  <sheetViews>
    <sheetView view="pageBreakPreview" zoomScaleNormal="85" zoomScaleSheetLayoutView="100" zoomScalePageLayoutView="0" workbookViewId="0" topLeftCell="A10">
      <selection activeCell="E38" sqref="E38"/>
    </sheetView>
  </sheetViews>
  <sheetFormatPr defaultColWidth="9.140625" defaultRowHeight="12.75"/>
  <cols>
    <col min="1" max="1" width="15.421875" style="0" customWidth="1"/>
    <col min="2" max="2" width="50.00390625" style="0" bestFit="1" customWidth="1"/>
    <col min="3" max="3" width="13.421875" style="0" customWidth="1"/>
    <col min="4" max="4" width="13.28125" style="0" bestFit="1" customWidth="1"/>
    <col min="5" max="5" width="10.140625" style="0" bestFit="1" customWidth="1"/>
    <col min="6" max="6" width="10.421875" style="0" bestFit="1" customWidth="1"/>
  </cols>
  <sheetData>
    <row r="1" spans="1:2" ht="28.5" customHeight="1">
      <c r="A1" s="1296" t="s">
        <v>174</v>
      </c>
      <c r="B1" s="1320"/>
    </row>
    <row r="2" spans="1:2" ht="24" customHeight="1">
      <c r="A2" s="1186" t="s">
        <v>387</v>
      </c>
      <c r="B2" s="1274"/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65"/>
      <c r="B6" s="65"/>
      <c r="C6" s="66"/>
      <c r="D6" s="66"/>
      <c r="E6" s="66"/>
    </row>
    <row r="7" spans="1:5" ht="15.75">
      <c r="A7" s="1272" t="s">
        <v>1503</v>
      </c>
      <c r="B7" s="1272"/>
      <c r="C7" s="1272"/>
      <c r="D7" s="1272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5.75">
      <c r="A10" s="1272" t="s">
        <v>992</v>
      </c>
      <c r="B10" s="1272"/>
      <c r="C10" s="1272"/>
      <c r="D10" s="1272"/>
      <c r="E10" s="67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2.75">
      <c r="A13" s="1129" t="s">
        <v>1506</v>
      </c>
      <c r="B13" s="1129"/>
      <c r="C13" s="1129"/>
      <c r="D13" s="1129"/>
      <c r="E13" s="1129"/>
    </row>
    <row r="15" spans="1:5" ht="15.75">
      <c r="A15" s="1272" t="s">
        <v>162</v>
      </c>
      <c r="B15" s="1272"/>
      <c r="C15" s="1272"/>
      <c r="D15" s="1272"/>
      <c r="E15" s="71"/>
    </row>
    <row r="16" spans="1:5" ht="15.75">
      <c r="A16" s="78"/>
      <c r="B16" s="78"/>
      <c r="C16" s="78"/>
      <c r="D16" s="78"/>
      <c r="E16" s="79"/>
    </row>
    <row r="17" spans="1:5" ht="12.75">
      <c r="A17" s="1129" t="s">
        <v>190</v>
      </c>
      <c r="B17" s="1129"/>
      <c r="C17" s="1129"/>
      <c r="D17" s="1129"/>
      <c r="E17" s="1129"/>
    </row>
    <row r="19" spans="1:5" ht="15.75">
      <c r="A19" s="1272" t="s">
        <v>158</v>
      </c>
      <c r="B19" s="1272"/>
      <c r="C19" s="1272"/>
      <c r="D19" s="1272"/>
      <c r="E19" s="76"/>
    </row>
    <row r="20" spans="1:5" ht="15.75">
      <c r="A20" s="78"/>
      <c r="B20" s="78"/>
      <c r="C20" s="78"/>
      <c r="D20" s="78"/>
      <c r="E20" s="80"/>
    </row>
    <row r="21" spans="1:5" ht="12.75">
      <c r="A21" s="32" t="s">
        <v>391</v>
      </c>
      <c r="B21" s="1129" t="s">
        <v>184</v>
      </c>
      <c r="C21" s="1129"/>
      <c r="D21" s="1129"/>
      <c r="E21" s="1129"/>
    </row>
    <row r="22" spans="1:5" s="23" customFormat="1" ht="12.75">
      <c r="A22" s="552" t="s">
        <v>390</v>
      </c>
      <c r="B22" s="330" t="s">
        <v>1095</v>
      </c>
      <c r="C22" s="553">
        <f>SUM(C23:C23)</f>
        <v>18000000</v>
      </c>
      <c r="D22" s="553">
        <f>+ROUND(C22,-3)</f>
        <v>18000000</v>
      </c>
      <c r="E22" s="87">
        <f>+D22/1000</f>
        <v>18000</v>
      </c>
    </row>
    <row r="23" spans="1:5" s="23" customFormat="1" ht="12.75">
      <c r="A23" s="554"/>
      <c r="B23" s="266" t="s">
        <v>862</v>
      </c>
      <c r="C23" s="553">
        <f>300*5000*12</f>
        <v>18000000</v>
      </c>
      <c r="D23" s="553"/>
      <c r="E23" s="553"/>
    </row>
    <row r="24" s="23" customFormat="1" ht="12.75"/>
    <row r="25" spans="1:5" s="19" customFormat="1" ht="12.75">
      <c r="A25" s="552" t="s">
        <v>1197</v>
      </c>
      <c r="B25" s="330" t="s">
        <v>188</v>
      </c>
      <c r="C25" s="555">
        <f>10*23600*8</f>
        <v>1888000</v>
      </c>
      <c r="D25" s="555"/>
      <c r="E25" s="87">
        <f>ROUND(C25,-3)/1000</f>
        <v>1888</v>
      </c>
    </row>
    <row r="26" spans="1:5" s="19" customFormat="1" ht="12.75">
      <c r="A26" s="266"/>
      <c r="B26" s="466" t="s">
        <v>897</v>
      </c>
      <c r="C26" s="555"/>
      <c r="D26" s="555"/>
      <c r="E26" s="87"/>
    </row>
    <row r="27" s="19" customFormat="1" ht="12.75"/>
    <row r="28" spans="1:5" s="19" customFormat="1" ht="12.75">
      <c r="A28" s="81"/>
      <c r="B28" s="81"/>
      <c r="C28" s="81"/>
      <c r="D28" s="81"/>
      <c r="E28" s="55"/>
    </row>
    <row r="29" spans="1:7" s="19" customFormat="1" ht="15.75">
      <c r="A29" s="1272" t="s">
        <v>189</v>
      </c>
      <c r="B29" s="1272"/>
      <c r="C29" s="1272"/>
      <c r="D29" s="1272"/>
      <c r="E29" s="76">
        <f>E14+E16+E21+E23+E25</f>
        <v>1888</v>
      </c>
      <c r="G29" s="1014"/>
    </row>
    <row r="30" spans="1:7" s="19" customFormat="1" ht="15.75">
      <c r="A30" s="78"/>
      <c r="B30" s="78"/>
      <c r="C30" s="78"/>
      <c r="D30" s="78"/>
      <c r="E30" s="80"/>
      <c r="G30" s="19">
        <f>+G29/22</f>
        <v>0</v>
      </c>
    </row>
    <row r="31" spans="1:5" s="19" customFormat="1" ht="15.75">
      <c r="A31" s="291" t="s">
        <v>1215</v>
      </c>
      <c r="B31" s="291" t="s">
        <v>1214</v>
      </c>
      <c r="C31" s="291"/>
      <c r="D31" s="291"/>
      <c r="E31" s="292">
        <f>E25*0.24</f>
        <v>453.12</v>
      </c>
    </row>
    <row r="32" spans="1:5" s="19" customFormat="1" ht="12.75">
      <c r="A32" s="81">
        <v>53112</v>
      </c>
      <c r="B32" s="81" t="s">
        <v>1216</v>
      </c>
      <c r="C32" s="81"/>
      <c r="D32" s="81"/>
      <c r="E32" s="55">
        <f>+E31</f>
        <v>453.12</v>
      </c>
    </row>
    <row r="33" spans="1:5" s="57" customFormat="1" ht="12.75">
      <c r="A33" s="1129" t="s">
        <v>1515</v>
      </c>
      <c r="B33" s="1129"/>
      <c r="C33" s="1129"/>
      <c r="D33" s="1129"/>
      <c r="E33" s="1129"/>
    </row>
    <row r="34" spans="1:5" s="57" customFormat="1" ht="12.75">
      <c r="A34"/>
      <c r="B34"/>
      <c r="C34"/>
      <c r="D34"/>
      <c r="E34"/>
    </row>
    <row r="35" spans="1:5" s="57" customFormat="1" ht="15.75">
      <c r="A35" s="1272" t="s">
        <v>1516</v>
      </c>
      <c r="B35" s="1272"/>
      <c r="C35" s="1272"/>
      <c r="D35" s="1272"/>
      <c r="E35" s="76">
        <v>0</v>
      </c>
    </row>
    <row r="36" spans="1:5" s="57" customFormat="1" ht="12.75">
      <c r="A36"/>
      <c r="B36"/>
      <c r="C36"/>
      <c r="D36"/>
      <c r="E36"/>
    </row>
    <row r="37" spans="1:5" s="57" customFormat="1" ht="15.75">
      <c r="A37" s="1268" t="s">
        <v>972</v>
      </c>
      <c r="B37" s="1268"/>
      <c r="C37" s="1268"/>
      <c r="D37" s="1268"/>
      <c r="E37" s="77">
        <f>E22+E25+E31</f>
        <v>20341.12</v>
      </c>
    </row>
  </sheetData>
  <sheetProtection/>
  <mergeCells count="15">
    <mergeCell ref="A13:E13"/>
    <mergeCell ref="A7:D7"/>
    <mergeCell ref="A10:D10"/>
    <mergeCell ref="A1:B1"/>
    <mergeCell ref="A2:B2"/>
    <mergeCell ref="A4:E4"/>
    <mergeCell ref="A5:E5"/>
    <mergeCell ref="A37:D37"/>
    <mergeCell ref="A35:D35"/>
    <mergeCell ref="A15:D15"/>
    <mergeCell ref="A17:E17"/>
    <mergeCell ref="A19:D19"/>
    <mergeCell ref="A33:E33"/>
    <mergeCell ref="B21:E21"/>
    <mergeCell ref="A29:D29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1"/>
  </sheetPr>
  <dimension ref="A1:E35"/>
  <sheetViews>
    <sheetView view="pageBreakPreview" zoomScaleNormal="85" zoomScaleSheetLayoutView="100" zoomScalePageLayoutView="0" workbookViewId="0" topLeftCell="A13">
      <selection activeCell="B2" sqref="B2:C2"/>
    </sheetView>
  </sheetViews>
  <sheetFormatPr defaultColWidth="9.140625" defaultRowHeight="12.75"/>
  <cols>
    <col min="1" max="1" width="13.57421875" style="0" bestFit="1" customWidth="1"/>
    <col min="2" max="2" width="47.57421875" style="0" bestFit="1" customWidth="1"/>
    <col min="3" max="5" width="10.28125" style="0" bestFit="1" customWidth="1"/>
    <col min="6" max="6" width="10.57421875" style="0" bestFit="1" customWidth="1"/>
  </cols>
  <sheetData>
    <row r="1" spans="2:3" ht="24" customHeight="1">
      <c r="B1" s="1296" t="s">
        <v>174</v>
      </c>
      <c r="C1" s="1320"/>
    </row>
    <row r="2" spans="2:3" ht="24" customHeight="1">
      <c r="B2" s="1321" t="s">
        <v>388</v>
      </c>
      <c r="C2" s="1322"/>
    </row>
    <row r="4" spans="1:5" ht="15">
      <c r="A4" s="1271" t="s">
        <v>163</v>
      </c>
      <c r="B4" s="1271"/>
      <c r="C4" s="1271"/>
      <c r="D4" s="1271"/>
      <c r="E4" s="1271"/>
    </row>
    <row r="5" spans="1:5" ht="12.75">
      <c r="A5" s="1129" t="s">
        <v>1499</v>
      </c>
      <c r="B5" s="1129"/>
      <c r="C5" s="1129"/>
      <c r="D5" s="1129"/>
      <c r="E5" s="1129"/>
    </row>
    <row r="6" spans="1:5" ht="12.75">
      <c r="A6" s="65"/>
      <c r="B6" s="65"/>
      <c r="C6" s="66"/>
      <c r="D6" s="66"/>
      <c r="E6" s="66"/>
    </row>
    <row r="7" spans="1:5" ht="15.75">
      <c r="A7" s="1272" t="s">
        <v>1503</v>
      </c>
      <c r="B7" s="1272"/>
      <c r="C7" s="1272"/>
      <c r="D7" s="1272"/>
      <c r="E7" s="67"/>
    </row>
    <row r="8" spans="1:5" ht="12.75">
      <c r="A8" s="65"/>
      <c r="B8" s="65"/>
      <c r="C8" s="66"/>
      <c r="D8" s="66"/>
      <c r="E8" s="66"/>
    </row>
    <row r="9" spans="1:5" ht="12.75">
      <c r="A9" s="65"/>
      <c r="B9" s="65"/>
      <c r="C9" s="66"/>
      <c r="D9" s="66"/>
      <c r="E9" s="66"/>
    </row>
    <row r="10" spans="1:5" ht="12.75">
      <c r="A10" s="1134" t="s">
        <v>1504</v>
      </c>
      <c r="B10" s="1263"/>
      <c r="C10" s="1263"/>
      <c r="D10" s="1263"/>
      <c r="E10" s="1263"/>
    </row>
    <row r="11" spans="1:5" ht="12.75">
      <c r="A11" s="65"/>
      <c r="B11" s="65"/>
      <c r="C11" s="66"/>
      <c r="D11" s="66"/>
      <c r="E11" s="66"/>
    </row>
    <row r="12" spans="1:5" ht="12.75">
      <c r="A12" s="65"/>
      <c r="B12" s="65"/>
      <c r="C12" s="66"/>
      <c r="D12" s="66"/>
      <c r="E12" s="66"/>
    </row>
    <row r="13" spans="1:5" ht="15.75">
      <c r="A13" s="1272" t="s">
        <v>992</v>
      </c>
      <c r="B13" s="1272"/>
      <c r="C13" s="1272"/>
      <c r="D13" s="1272"/>
      <c r="E13" s="67">
        <v>0</v>
      </c>
    </row>
    <row r="14" spans="1:5" ht="12.75">
      <c r="A14" s="65"/>
      <c r="B14" s="65"/>
      <c r="C14" s="66"/>
      <c r="D14" s="66"/>
      <c r="E14" s="66"/>
    </row>
    <row r="15" spans="1:5" ht="12.75">
      <c r="A15" s="65"/>
      <c r="B15" s="65"/>
      <c r="C15" s="66"/>
      <c r="D15" s="66"/>
      <c r="E15" s="66"/>
    </row>
    <row r="16" spans="1:5" ht="12.75">
      <c r="A16" s="1129" t="s">
        <v>1506</v>
      </c>
      <c r="B16" s="1129"/>
      <c r="C16" s="1129"/>
      <c r="D16" s="1129"/>
      <c r="E16" s="1129"/>
    </row>
    <row r="18" spans="1:5" ht="15.75">
      <c r="A18" s="1272" t="s">
        <v>162</v>
      </c>
      <c r="B18" s="1272"/>
      <c r="C18" s="1272"/>
      <c r="D18" s="1272"/>
      <c r="E18" s="71"/>
    </row>
    <row r="19" spans="1:5" ht="15.75">
      <c r="A19" s="78"/>
      <c r="B19" s="78"/>
      <c r="C19" s="78"/>
      <c r="D19" s="78"/>
      <c r="E19" s="79"/>
    </row>
    <row r="20" spans="1:5" ht="12.75">
      <c r="A20" s="1129" t="s">
        <v>190</v>
      </c>
      <c r="B20" s="1129"/>
      <c r="C20" s="1129"/>
      <c r="D20" s="1129"/>
      <c r="E20" s="1129"/>
    </row>
    <row r="22" spans="1:5" ht="15.75">
      <c r="A22" s="1272" t="s">
        <v>158</v>
      </c>
      <c r="B22" s="1272"/>
      <c r="C22" s="1272"/>
      <c r="D22" s="1272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129" t="s">
        <v>184</v>
      </c>
      <c r="B24" s="1129"/>
      <c r="C24" s="1129"/>
      <c r="D24" s="1129"/>
      <c r="E24" s="1129"/>
    </row>
    <row r="25" spans="1:5" s="21" customFormat="1" ht="12.75">
      <c r="A25" s="314"/>
      <c r="B25" s="497"/>
      <c r="C25" s="320"/>
      <c r="D25" s="314"/>
      <c r="E25" s="314"/>
    </row>
    <row r="26" spans="1:5" s="21" customFormat="1" ht="12.75">
      <c r="A26" s="314"/>
      <c r="B26" s="497"/>
      <c r="C26" s="320"/>
      <c r="D26" s="314"/>
      <c r="E26" s="314"/>
    </row>
    <row r="27" spans="1:5" ht="12.75">
      <c r="A27" s="552">
        <v>5831181</v>
      </c>
      <c r="B27" s="330" t="s">
        <v>1098</v>
      </c>
      <c r="C27" s="553">
        <f>500*5800*2</f>
        <v>5800000</v>
      </c>
      <c r="D27" s="553">
        <f>+ROUND(C27,-3)</f>
        <v>5800000</v>
      </c>
      <c r="E27" s="87">
        <f>+D27/1000</f>
        <v>5800</v>
      </c>
    </row>
    <row r="28" spans="1:5" ht="12.75">
      <c r="A28" s="330"/>
      <c r="B28" s="266" t="s">
        <v>920</v>
      </c>
      <c r="C28" s="330"/>
      <c r="D28" s="330"/>
      <c r="E28" s="49"/>
    </row>
    <row r="29" spans="1:5" ht="15.75">
      <c r="A29" s="1275" t="s">
        <v>189</v>
      </c>
      <c r="B29" s="1275"/>
      <c r="C29" s="1275"/>
      <c r="D29" s="1275"/>
      <c r="E29" s="448">
        <f>+E27</f>
        <v>5800</v>
      </c>
    </row>
    <row r="30" spans="1:5" ht="12.75">
      <c r="A30" s="81"/>
      <c r="B30" s="81"/>
      <c r="C30" s="81"/>
      <c r="D30" s="81"/>
      <c r="E30" s="55"/>
    </row>
    <row r="31" spans="1:5" ht="12.75">
      <c r="A31" s="1129" t="s">
        <v>1515</v>
      </c>
      <c r="B31" s="1129"/>
      <c r="C31" s="1129"/>
      <c r="D31" s="1129"/>
      <c r="E31" s="1129"/>
    </row>
    <row r="33" spans="1:5" ht="15.75">
      <c r="A33" s="1272" t="s">
        <v>1516</v>
      </c>
      <c r="B33" s="1272"/>
      <c r="C33" s="1272"/>
      <c r="D33" s="1272"/>
      <c r="E33" s="76"/>
    </row>
    <row r="35" spans="1:5" ht="15.75">
      <c r="A35" s="1268" t="s">
        <v>972</v>
      </c>
      <c r="B35" s="1268"/>
      <c r="C35" s="1268"/>
      <c r="D35" s="1268"/>
      <c r="E35" s="77">
        <f>+E33+E22+E18+E13+E7+E29</f>
        <v>5800</v>
      </c>
    </row>
  </sheetData>
  <sheetProtection/>
  <mergeCells count="16">
    <mergeCell ref="A13:D13"/>
    <mergeCell ref="A16:E16"/>
    <mergeCell ref="A18:D18"/>
    <mergeCell ref="A20:E20"/>
    <mergeCell ref="A35:D35"/>
    <mergeCell ref="A22:D22"/>
    <mergeCell ref="A24:E24"/>
    <mergeCell ref="A29:D29"/>
    <mergeCell ref="A31:E31"/>
    <mergeCell ref="A33:D33"/>
    <mergeCell ref="A10:E10"/>
    <mergeCell ref="B1:C1"/>
    <mergeCell ref="B2:C2"/>
    <mergeCell ref="A4:E4"/>
    <mergeCell ref="A5:E5"/>
    <mergeCell ref="A7:D7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1"/>
  </sheetPr>
  <dimension ref="A1:E11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34.28125" style="0" bestFit="1" customWidth="1"/>
    <col min="5" max="5" width="7.00390625" style="0" bestFit="1" customWidth="1"/>
  </cols>
  <sheetData>
    <row r="1" spans="1:5" ht="12.75">
      <c r="A1" s="1273" t="s">
        <v>130</v>
      </c>
      <c r="B1" s="1273"/>
      <c r="C1" s="1273"/>
      <c r="D1" s="1273"/>
      <c r="E1" s="1273"/>
    </row>
    <row r="3" spans="1:5" ht="12.75">
      <c r="A3" s="1273" t="s">
        <v>929</v>
      </c>
      <c r="B3" s="1273"/>
      <c r="C3" s="1273"/>
      <c r="D3" s="1273"/>
      <c r="E3" s="1273"/>
    </row>
    <row r="5" spans="1:5" ht="12.75">
      <c r="A5" s="1129" t="s">
        <v>184</v>
      </c>
      <c r="B5" s="1129"/>
      <c r="C5" s="1129"/>
      <c r="D5" s="1129"/>
      <c r="E5" s="1129"/>
    </row>
    <row r="6" spans="1:5" ht="12.75">
      <c r="A6" s="45">
        <v>5831184</v>
      </c>
      <c r="B6" s="46" t="s">
        <v>926</v>
      </c>
      <c r="C6" s="571"/>
      <c r="D6" s="572">
        <f>+C7+C8</f>
        <v>400000</v>
      </c>
      <c r="E6" s="463">
        <f>+ROUND(D6,-3)/1000</f>
        <v>400</v>
      </c>
    </row>
    <row r="7" spans="1:5" ht="12.75">
      <c r="A7" s="314"/>
      <c r="B7" s="497" t="s">
        <v>927</v>
      </c>
      <c r="C7" s="320">
        <f>10*10000*2</f>
        <v>200000</v>
      </c>
      <c r="D7" s="314"/>
      <c r="E7" s="314"/>
    </row>
    <row r="8" spans="1:5" ht="12.75">
      <c r="A8" s="314"/>
      <c r="B8" s="497" t="s">
        <v>896</v>
      </c>
      <c r="C8" s="320">
        <f>10*20000</f>
        <v>200000</v>
      </c>
      <c r="D8" s="314"/>
      <c r="E8" s="314"/>
    </row>
    <row r="9" spans="1:5" ht="12.75">
      <c r="A9" s="552"/>
      <c r="B9" s="330"/>
      <c r="C9" s="553"/>
      <c r="D9" s="553"/>
      <c r="E9" s="87"/>
    </row>
    <row r="10" spans="1:5" ht="12.75">
      <c r="A10" s="330"/>
      <c r="B10" s="266"/>
      <c r="C10" s="330"/>
      <c r="D10" s="330"/>
      <c r="E10" s="49"/>
    </row>
    <row r="11" spans="1:5" ht="15.75">
      <c r="A11" s="1275" t="s">
        <v>189</v>
      </c>
      <c r="B11" s="1275"/>
      <c r="C11" s="1275"/>
      <c r="D11" s="1275"/>
      <c r="E11" s="448">
        <f>+E9+E6</f>
        <v>400</v>
      </c>
    </row>
  </sheetData>
  <sheetProtection/>
  <mergeCells count="4">
    <mergeCell ref="A5:E5"/>
    <mergeCell ref="A11:D11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1"/>
  </sheetPr>
  <dimension ref="A1:E33"/>
  <sheetViews>
    <sheetView view="pageBreakPreview" zoomScaleNormal="85" zoomScaleSheetLayoutView="100" zoomScalePageLayoutView="0" workbookViewId="0" topLeftCell="A13">
      <selection activeCell="A2" sqref="A2:D2"/>
    </sheetView>
  </sheetViews>
  <sheetFormatPr defaultColWidth="9.140625" defaultRowHeight="19.5" customHeight="1"/>
  <cols>
    <col min="1" max="1" width="12.7109375" style="91" customWidth="1"/>
    <col min="2" max="2" width="38.00390625" style="91" customWidth="1"/>
    <col min="3" max="3" width="12.7109375" style="91" bestFit="1" customWidth="1"/>
    <col min="4" max="4" width="12.8515625" style="91" customWidth="1"/>
    <col min="5" max="5" width="10.140625" style="91" customWidth="1"/>
    <col min="6" max="6" width="10.57421875" style="91" bestFit="1" customWidth="1"/>
    <col min="7" max="16384" width="9.140625" style="91" customWidth="1"/>
  </cols>
  <sheetData>
    <row r="1" spans="1:4" ht="19.5" customHeight="1">
      <c r="A1" s="118"/>
      <c r="B1" s="1296" t="s">
        <v>174</v>
      </c>
      <c r="C1" s="1323"/>
      <c r="D1" s="118"/>
    </row>
    <row r="2" spans="1:4" ht="19.5" customHeight="1">
      <c r="A2" s="1296" t="s">
        <v>389</v>
      </c>
      <c r="B2" s="1324"/>
      <c r="C2" s="1324"/>
      <c r="D2" s="1324"/>
    </row>
    <row r="4" spans="1:5" ht="19.5" customHeight="1">
      <c r="A4" s="1278" t="s">
        <v>163</v>
      </c>
      <c r="B4" s="1278"/>
      <c r="C4" s="1278"/>
      <c r="D4" s="1278"/>
      <c r="E4" s="1278"/>
    </row>
    <row r="5" spans="1:5" ht="19.5" customHeight="1">
      <c r="A5" s="1279" t="s">
        <v>1499</v>
      </c>
      <c r="B5" s="1279"/>
      <c r="C5" s="1279"/>
      <c r="D5" s="1279"/>
      <c r="E5" s="1279"/>
    </row>
    <row r="6" spans="1:5" ht="19.5" customHeight="1">
      <c r="A6" s="101"/>
      <c r="B6" s="101"/>
      <c r="C6" s="102"/>
      <c r="D6" s="102"/>
      <c r="E6" s="102"/>
    </row>
    <row r="7" spans="1:5" ht="19.5" customHeight="1">
      <c r="A7" s="1291" t="s">
        <v>1503</v>
      </c>
      <c r="B7" s="1291"/>
      <c r="C7" s="1291"/>
      <c r="D7" s="1291"/>
      <c r="E7" s="103"/>
    </row>
    <row r="8" spans="1:5" ht="19.5" customHeight="1">
      <c r="A8" s="101"/>
      <c r="B8" s="101"/>
      <c r="C8" s="102"/>
      <c r="D8" s="102"/>
      <c r="E8" s="102"/>
    </row>
    <row r="9" spans="1:5" ht="19.5" customHeight="1">
      <c r="A9" s="101"/>
      <c r="B9" s="101"/>
      <c r="C9" s="102"/>
      <c r="D9" s="102"/>
      <c r="E9" s="102"/>
    </row>
    <row r="10" spans="1:5" ht="19.5" customHeight="1">
      <c r="A10" s="1269" t="s">
        <v>1504</v>
      </c>
      <c r="B10" s="1270"/>
      <c r="C10" s="1270"/>
      <c r="D10" s="1270"/>
      <c r="E10" s="1270"/>
    </row>
    <row r="11" spans="1:5" ht="19.5" customHeight="1">
      <c r="A11" s="101"/>
      <c r="B11" s="101"/>
      <c r="C11" s="102"/>
      <c r="D11" s="102"/>
      <c r="E11" s="102"/>
    </row>
    <row r="12" spans="1:5" ht="19.5" customHeight="1">
      <c r="A12" s="101"/>
      <c r="B12" s="101"/>
      <c r="C12" s="102"/>
      <c r="D12" s="102"/>
      <c r="E12" s="102"/>
    </row>
    <row r="13" spans="1:5" ht="19.5" customHeight="1">
      <c r="A13" s="1291" t="s">
        <v>992</v>
      </c>
      <c r="B13" s="1291"/>
      <c r="C13" s="1291"/>
      <c r="D13" s="1291"/>
      <c r="E13" s="103"/>
    </row>
    <row r="14" spans="1:5" ht="19.5" customHeight="1">
      <c r="A14" s="101"/>
      <c r="B14" s="101"/>
      <c r="C14" s="102"/>
      <c r="D14" s="102"/>
      <c r="E14" s="102"/>
    </row>
    <row r="15" spans="1:5" ht="19.5" customHeight="1">
      <c r="A15" s="101"/>
      <c r="B15" s="101"/>
      <c r="C15" s="102"/>
      <c r="D15" s="102"/>
      <c r="E15" s="102"/>
    </row>
    <row r="16" spans="1:5" ht="19.5" customHeight="1">
      <c r="A16" s="1279" t="s">
        <v>1506</v>
      </c>
      <c r="B16" s="1279"/>
      <c r="C16" s="1279"/>
      <c r="D16" s="1279"/>
      <c r="E16" s="1279"/>
    </row>
    <row r="18" spans="1:5" ht="19.5" customHeight="1">
      <c r="A18" s="1291" t="s">
        <v>162</v>
      </c>
      <c r="B18" s="1291"/>
      <c r="C18" s="1291"/>
      <c r="D18" s="1291"/>
      <c r="E18" s="108"/>
    </row>
    <row r="19" spans="1:5" ht="19.5" customHeight="1">
      <c r="A19" s="121"/>
      <c r="B19" s="121"/>
      <c r="C19" s="121"/>
      <c r="D19" s="121"/>
      <c r="E19" s="122"/>
    </row>
    <row r="20" spans="1:5" ht="19.5" customHeight="1">
      <c r="A20" s="1279" t="s">
        <v>190</v>
      </c>
      <c r="B20" s="1279"/>
      <c r="C20" s="1279"/>
      <c r="D20" s="1279"/>
      <c r="E20" s="1279"/>
    </row>
    <row r="22" spans="1:5" ht="19.5" customHeight="1">
      <c r="A22" s="1291" t="s">
        <v>158</v>
      </c>
      <c r="B22" s="1291"/>
      <c r="C22" s="1291"/>
      <c r="D22" s="1291"/>
      <c r="E22" s="109"/>
    </row>
    <row r="23" spans="1:5" ht="19.5" customHeight="1">
      <c r="A23" s="121"/>
      <c r="B23" s="121"/>
      <c r="C23" s="121"/>
      <c r="D23" s="121"/>
      <c r="E23" s="125"/>
    </row>
    <row r="24" spans="1:5" ht="19.5" customHeight="1">
      <c r="A24" s="1279" t="s">
        <v>184</v>
      </c>
      <c r="B24" s="1279"/>
      <c r="C24" s="1279"/>
      <c r="D24" s="1279"/>
      <c r="E24" s="1279"/>
    </row>
    <row r="25" spans="1:5" ht="15">
      <c r="A25" s="552">
        <v>5831112</v>
      </c>
      <c r="B25" s="330" t="s">
        <v>1099</v>
      </c>
      <c r="C25" s="555">
        <f>SUM(C26:C26)</f>
        <v>6156000</v>
      </c>
      <c r="D25" s="555">
        <f>C25</f>
        <v>6156000</v>
      </c>
      <c r="E25" s="87">
        <f>+D25/1000</f>
        <v>6156</v>
      </c>
    </row>
    <row r="26" spans="1:5" ht="15">
      <c r="A26" s="319"/>
      <c r="B26" s="319" t="s">
        <v>863</v>
      </c>
      <c r="C26" s="465">
        <f>20*25650*12</f>
        <v>6156000</v>
      </c>
      <c r="D26" s="319"/>
      <c r="E26" s="319"/>
    </row>
    <row r="27" spans="1:5" ht="15">
      <c r="A27" s="552">
        <v>583111112</v>
      </c>
      <c r="B27" s="545" t="s">
        <v>185</v>
      </c>
      <c r="C27" s="555">
        <f>C28+C29</f>
        <v>82080000</v>
      </c>
      <c r="D27" s="555"/>
      <c r="E27" s="87">
        <f>C27/1000</f>
        <v>82080</v>
      </c>
    </row>
    <row r="28" spans="1:5" ht="19.5" customHeight="1">
      <c r="A28" s="552"/>
      <c r="B28" s="266" t="s">
        <v>864</v>
      </c>
      <c r="C28" s="555">
        <f>300*12*22800</f>
        <v>82080000</v>
      </c>
      <c r="D28" s="555"/>
      <c r="E28" s="87"/>
    </row>
    <row r="29" spans="1:5" ht="19.5" customHeight="1">
      <c r="A29" s="552"/>
      <c r="B29" s="266"/>
      <c r="C29" s="555"/>
      <c r="D29" s="555"/>
      <c r="E29" s="87"/>
    </row>
    <row r="30" spans="1:5" ht="19.5" customHeight="1">
      <c r="A30" s="556"/>
      <c r="B30" s="556"/>
      <c r="C30" s="556"/>
      <c r="D30" s="556"/>
      <c r="E30" s="251"/>
    </row>
    <row r="31" spans="1:5" ht="19.5" customHeight="1">
      <c r="A31" s="1292" t="s">
        <v>189</v>
      </c>
      <c r="B31" s="1292"/>
      <c r="C31" s="1292"/>
      <c r="D31" s="1292"/>
      <c r="E31" s="557">
        <f>+E25+E27</f>
        <v>88236</v>
      </c>
    </row>
    <row r="33" spans="1:5" ht="19.5" customHeight="1">
      <c r="A33" s="1293" t="s">
        <v>972</v>
      </c>
      <c r="B33" s="1293"/>
      <c r="C33" s="1293"/>
      <c r="D33" s="1293"/>
      <c r="E33" s="110">
        <f>E22+E18+E13+E7+E31</f>
        <v>88236</v>
      </c>
    </row>
  </sheetData>
  <sheetProtection/>
  <mergeCells count="14">
    <mergeCell ref="A13:D13"/>
    <mergeCell ref="A16:E16"/>
    <mergeCell ref="B1:C1"/>
    <mergeCell ref="A2:D2"/>
    <mergeCell ref="A4:E4"/>
    <mergeCell ref="A5:E5"/>
    <mergeCell ref="A7:D7"/>
    <mergeCell ref="A10:E10"/>
    <mergeCell ref="A18:D18"/>
    <mergeCell ref="A20:E20"/>
    <mergeCell ref="A33:D33"/>
    <mergeCell ref="A22:D22"/>
    <mergeCell ref="A24:E24"/>
    <mergeCell ref="A31:D3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1"/>
  </sheetPr>
  <dimension ref="A1:E72"/>
  <sheetViews>
    <sheetView view="pageBreakPreview" zoomScaleNormal="85" zoomScaleSheetLayoutView="100" zoomScalePageLayoutView="0" workbookViewId="0" topLeftCell="A22">
      <selection activeCell="D38" sqref="D38"/>
    </sheetView>
  </sheetViews>
  <sheetFormatPr defaultColWidth="9.140625" defaultRowHeight="12.75"/>
  <cols>
    <col min="1" max="1" width="21.140625" style="91" customWidth="1"/>
    <col min="2" max="2" width="50.421875" style="91" customWidth="1"/>
    <col min="3" max="3" width="11.421875" style="91" customWidth="1"/>
    <col min="4" max="4" width="12.421875" style="91" customWidth="1"/>
    <col min="5" max="5" width="7.140625" style="91" customWidth="1"/>
    <col min="6" max="6" width="10.421875" style="91" bestFit="1" customWidth="1"/>
    <col min="7" max="16384" width="9.140625" style="91" customWidth="1"/>
  </cols>
  <sheetData>
    <row r="1" spans="2:5" ht="23.25" customHeight="1">
      <c r="B1" s="1325" t="s">
        <v>130</v>
      </c>
      <c r="C1" s="1326"/>
      <c r="D1" s="1326"/>
      <c r="E1" s="1326"/>
    </row>
    <row r="2" spans="2:5" ht="21" customHeight="1">
      <c r="B2" s="1325" t="s">
        <v>1198</v>
      </c>
      <c r="C2" s="1325"/>
      <c r="D2" s="1325"/>
      <c r="E2" s="1325"/>
    </row>
    <row r="4" spans="1:5" ht="15">
      <c r="A4" s="1278" t="s">
        <v>163</v>
      </c>
      <c r="B4" s="1278"/>
      <c r="C4" s="1278"/>
      <c r="D4" s="1278"/>
      <c r="E4" s="1278"/>
    </row>
    <row r="5" spans="1:5" ht="15">
      <c r="A5" s="1279" t="s">
        <v>1499</v>
      </c>
      <c r="B5" s="1279"/>
      <c r="C5" s="1279"/>
      <c r="D5" s="1279"/>
      <c r="E5" s="1279"/>
    </row>
    <row r="6" spans="1:5" ht="15">
      <c r="A6" s="101"/>
      <c r="B6" s="101"/>
      <c r="C6" s="102"/>
      <c r="D6" s="102"/>
      <c r="E6" s="102"/>
    </row>
    <row r="7" spans="1:5" ht="15.75">
      <c r="A7" s="1291" t="s">
        <v>1503</v>
      </c>
      <c r="B7" s="1291"/>
      <c r="C7" s="1291"/>
      <c r="D7" s="1291"/>
      <c r="E7" s="103"/>
    </row>
    <row r="8" spans="1:5" ht="15">
      <c r="A8" s="101"/>
      <c r="B8" s="101"/>
      <c r="C8" s="102"/>
      <c r="D8" s="102"/>
      <c r="E8" s="102"/>
    </row>
    <row r="9" spans="1:5" ht="15">
      <c r="A9" s="101"/>
      <c r="B9" s="101"/>
      <c r="C9" s="102"/>
      <c r="D9" s="102"/>
      <c r="E9" s="102"/>
    </row>
    <row r="10" spans="1:5" ht="15">
      <c r="A10" s="1269" t="s">
        <v>1504</v>
      </c>
      <c r="B10" s="1270"/>
      <c r="C10" s="1270"/>
      <c r="D10" s="1270"/>
      <c r="E10" s="1270"/>
    </row>
    <row r="11" spans="1:5" ht="15">
      <c r="A11" s="101"/>
      <c r="B11" s="101"/>
      <c r="C11" s="102"/>
      <c r="D11" s="102"/>
      <c r="E11" s="102"/>
    </row>
    <row r="12" spans="1:5" ht="15.75">
      <c r="A12" s="1291" t="s">
        <v>992</v>
      </c>
      <c r="B12" s="1291"/>
      <c r="C12" s="1291"/>
      <c r="D12" s="1291"/>
      <c r="E12" s="103"/>
    </row>
    <row r="13" spans="1:5" ht="15">
      <c r="A13" s="101"/>
      <c r="B13" s="101"/>
      <c r="C13" s="102"/>
      <c r="D13" s="102"/>
      <c r="E13" s="102"/>
    </row>
    <row r="14" spans="1:5" ht="15">
      <c r="A14" s="101"/>
      <c r="B14" s="101"/>
      <c r="C14" s="102"/>
      <c r="D14" s="102"/>
      <c r="E14" s="102"/>
    </row>
    <row r="15" spans="1:5" ht="15">
      <c r="A15" s="1279" t="s">
        <v>1506</v>
      </c>
      <c r="B15" s="1279"/>
      <c r="C15" s="1279"/>
      <c r="D15" s="1279"/>
      <c r="E15" s="1279"/>
    </row>
    <row r="17" spans="1:5" ht="15.75">
      <c r="A17" s="1291" t="s">
        <v>162</v>
      </c>
      <c r="B17" s="1291"/>
      <c r="C17" s="1291"/>
      <c r="D17" s="1291"/>
      <c r="E17" s="108"/>
    </row>
    <row r="18" spans="1:5" ht="15.75">
      <c r="A18" s="121"/>
      <c r="B18" s="121"/>
      <c r="C18" s="121"/>
      <c r="D18" s="121"/>
      <c r="E18" s="122"/>
    </row>
    <row r="19" spans="1:5" ht="15">
      <c r="A19" s="1279" t="s">
        <v>190</v>
      </c>
      <c r="B19" s="1279"/>
      <c r="C19" s="1279"/>
      <c r="D19" s="1279"/>
      <c r="E19" s="1279"/>
    </row>
    <row r="21" spans="1:5" ht="15.75">
      <c r="A21" s="1291" t="s">
        <v>158</v>
      </c>
      <c r="B21" s="1291"/>
      <c r="C21" s="1291"/>
      <c r="D21" s="1291"/>
      <c r="E21" s="109"/>
    </row>
    <row r="22" spans="1:5" ht="15.75">
      <c r="A22" s="121"/>
      <c r="B22" s="121"/>
      <c r="C22" s="121"/>
      <c r="D22" s="121"/>
      <c r="E22" s="125"/>
    </row>
    <row r="23" spans="1:5" ht="15">
      <c r="A23" s="1279" t="s">
        <v>184</v>
      </c>
      <c r="B23" s="1279"/>
      <c r="C23" s="1279"/>
      <c r="D23" s="1279"/>
      <c r="E23" s="1279"/>
    </row>
    <row r="24" spans="1:5" ht="15">
      <c r="A24" s="96"/>
      <c r="B24" s="96"/>
      <c r="C24" s="96"/>
      <c r="D24" s="96"/>
      <c r="E24" s="96"/>
    </row>
    <row r="25" spans="1:5" ht="15.75">
      <c r="A25" s="142" t="s">
        <v>391</v>
      </c>
      <c r="B25" s="130"/>
      <c r="C25" s="96"/>
      <c r="D25" s="96"/>
      <c r="E25" s="96"/>
    </row>
    <row r="26" spans="1:5" s="30" customFormat="1" ht="15.75">
      <c r="A26" s="317"/>
      <c r="B26" s="317"/>
      <c r="C26" s="316"/>
      <c r="D26" s="316"/>
      <c r="E26" s="318"/>
    </row>
    <row r="27" spans="1:5" ht="15">
      <c r="A27" s="116"/>
      <c r="B27" s="116"/>
      <c r="C27" s="126"/>
      <c r="D27" s="116"/>
      <c r="E27" s="116"/>
    </row>
    <row r="28" spans="1:5" ht="15.75">
      <c r="A28" s="558" t="s">
        <v>1199</v>
      </c>
      <c r="B28" s="556" t="s">
        <v>1100</v>
      </c>
      <c r="C28" s="559">
        <v>0</v>
      </c>
      <c r="D28" s="559">
        <f>C28</f>
        <v>0</v>
      </c>
      <c r="E28" s="560">
        <f>+D28/1000</f>
        <v>0</v>
      </c>
    </row>
    <row r="29" spans="1:5" ht="15.75">
      <c r="A29" s="561"/>
      <c r="B29" s="562"/>
      <c r="C29" s="302"/>
      <c r="D29" s="559"/>
      <c r="E29" s="560"/>
    </row>
    <row r="30" spans="1:5" ht="15.75">
      <c r="A30" s="561">
        <v>5831171882122</v>
      </c>
      <c r="B30" s="556" t="s">
        <v>1510</v>
      </c>
      <c r="C30" s="563">
        <f>334*3000*3</f>
        <v>3006000</v>
      </c>
      <c r="D30" s="559">
        <f>+ROUND(C30,-3)</f>
        <v>3006000</v>
      </c>
      <c r="E30" s="560">
        <f>+D30/1000</f>
        <v>3006</v>
      </c>
    </row>
    <row r="31" spans="1:5" ht="15.75">
      <c r="A31" s="561"/>
      <c r="B31" s="564" t="s">
        <v>865</v>
      </c>
      <c r="C31" s="99"/>
      <c r="D31" s="556"/>
      <c r="E31" s="251"/>
    </row>
    <row r="32" spans="1:5" ht="15.75">
      <c r="A32" s="558" t="s">
        <v>1200</v>
      </c>
      <c r="B32" s="556" t="s">
        <v>1511</v>
      </c>
      <c r="C32" s="559">
        <v>0</v>
      </c>
      <c r="D32" s="559">
        <f>+ROUND(C32,-3)</f>
        <v>0</v>
      </c>
      <c r="E32" s="560">
        <f>+D32/1000</f>
        <v>0</v>
      </c>
    </row>
    <row r="33" spans="1:5" ht="15.75">
      <c r="A33" s="561"/>
      <c r="B33" s="564"/>
      <c r="C33" s="556"/>
      <c r="D33" s="556"/>
      <c r="E33" s="251"/>
    </row>
    <row r="34" spans="1:5" ht="15.75">
      <c r="A34" s="558" t="s">
        <v>1201</v>
      </c>
      <c r="B34" s="556" t="s">
        <v>977</v>
      </c>
      <c r="C34" s="559">
        <f>5*150000</f>
        <v>750000</v>
      </c>
      <c r="D34" s="559">
        <f>C34</f>
        <v>750000</v>
      </c>
      <c r="E34" s="560">
        <f>+D34/1000</f>
        <v>750</v>
      </c>
    </row>
    <row r="35" spans="1:5" ht="15.75">
      <c r="A35" s="561"/>
      <c r="B35" s="564" t="s">
        <v>866</v>
      </c>
      <c r="C35" s="559"/>
      <c r="D35" s="559"/>
      <c r="E35" s="560"/>
    </row>
    <row r="36" spans="1:5" ht="15.75">
      <c r="A36" s="558" t="s">
        <v>1202</v>
      </c>
      <c r="B36" s="565" t="s">
        <v>797</v>
      </c>
      <c r="C36" s="559">
        <v>400000</v>
      </c>
      <c r="D36" s="559">
        <f>+ROUND(C36,-3)</f>
        <v>400000</v>
      </c>
      <c r="E36" s="560">
        <f>+D36/1000</f>
        <v>400</v>
      </c>
    </row>
    <row r="37" spans="1:5" ht="15.75">
      <c r="A37" s="561"/>
      <c r="B37" s="564" t="s">
        <v>1327</v>
      </c>
      <c r="C37" s="556"/>
      <c r="D37" s="556"/>
      <c r="E37" s="251"/>
    </row>
    <row r="38" spans="1:5" ht="15.75">
      <c r="A38" s="561">
        <v>5831191882125</v>
      </c>
      <c r="B38" s="556" t="s">
        <v>1101</v>
      </c>
      <c r="C38" s="559"/>
      <c r="D38" s="559"/>
      <c r="E38" s="560">
        <f>+D38/1000</f>
        <v>0</v>
      </c>
    </row>
    <row r="39" spans="1:5" ht="15.75">
      <c r="A39" s="561"/>
      <c r="B39" s="566"/>
      <c r="C39" s="556"/>
      <c r="D39" s="556"/>
      <c r="E39" s="251"/>
    </row>
    <row r="40" spans="1:5" ht="15.75">
      <c r="A40" s="558" t="s">
        <v>1203</v>
      </c>
      <c r="B40" s="556" t="s">
        <v>1102</v>
      </c>
      <c r="C40" s="559">
        <v>2450000</v>
      </c>
      <c r="D40" s="559">
        <f>+ROUND(C40,-3)</f>
        <v>2450000</v>
      </c>
      <c r="E40" s="560">
        <f>+D40/1000</f>
        <v>2450</v>
      </c>
    </row>
    <row r="41" spans="1:5" ht="15.75">
      <c r="A41" s="561"/>
      <c r="B41" s="556"/>
      <c r="C41" s="556"/>
      <c r="D41" s="556"/>
      <c r="E41" s="251"/>
    </row>
    <row r="42" spans="1:5" ht="15.75">
      <c r="A42" s="1292" t="s">
        <v>189</v>
      </c>
      <c r="B42" s="1292"/>
      <c r="C42" s="1292"/>
      <c r="D42" s="1292"/>
      <c r="E42" s="557">
        <f>SUM(E28:E41)</f>
        <v>6606</v>
      </c>
    </row>
    <row r="43" spans="1:5" ht="15.75">
      <c r="A43" s="121"/>
      <c r="B43" s="121"/>
      <c r="C43" s="121"/>
      <c r="D43" s="121"/>
      <c r="E43" s="125"/>
    </row>
    <row r="44" spans="1:5" ht="15">
      <c r="A44" s="1279" t="s">
        <v>1515</v>
      </c>
      <c r="B44" s="1279"/>
      <c r="C44" s="1279"/>
      <c r="D44" s="1279"/>
      <c r="E44" s="1279"/>
    </row>
    <row r="46" spans="1:5" ht="15.75">
      <c r="A46" s="1291" t="s">
        <v>1516</v>
      </c>
      <c r="B46" s="1291"/>
      <c r="C46" s="1291"/>
      <c r="D46" s="1291"/>
      <c r="E46" s="109"/>
    </row>
    <row r="48" spans="1:5" ht="15.75">
      <c r="A48" s="1293" t="s">
        <v>972</v>
      </c>
      <c r="B48" s="1293"/>
      <c r="C48" s="1293"/>
      <c r="D48" s="1293"/>
      <c r="E48" s="110">
        <f>+E46+E21+E17+E12+E7+E42</f>
        <v>6606</v>
      </c>
    </row>
    <row r="51" spans="1:5" ht="15">
      <c r="A51" s="1278" t="s">
        <v>164</v>
      </c>
      <c r="B51" s="1278"/>
      <c r="C51" s="1278"/>
      <c r="D51" s="1278"/>
      <c r="E51" s="1278"/>
    </row>
    <row r="53" spans="1:5" ht="15">
      <c r="A53" s="1279" t="s">
        <v>1517</v>
      </c>
      <c r="B53" s="1279"/>
      <c r="C53" s="1279"/>
      <c r="D53" s="1279"/>
      <c r="E53" s="1279"/>
    </row>
    <row r="55" spans="1:5" ht="15.75">
      <c r="A55" s="1291" t="s">
        <v>660</v>
      </c>
      <c r="B55" s="1291"/>
      <c r="C55" s="1291"/>
      <c r="D55" s="1291"/>
      <c r="E55" s="108"/>
    </row>
    <row r="57" spans="1:5" ht="15">
      <c r="A57" s="1279" t="s">
        <v>661</v>
      </c>
      <c r="B57" s="1279"/>
      <c r="C57" s="1279"/>
      <c r="D57" s="1279"/>
      <c r="E57" s="1279"/>
    </row>
    <row r="59" spans="1:5" ht="15.75">
      <c r="A59" s="1291" t="s">
        <v>662</v>
      </c>
      <c r="B59" s="1291"/>
      <c r="C59" s="1291"/>
      <c r="D59" s="1291"/>
      <c r="E59" s="108"/>
    </row>
    <row r="61" spans="1:5" ht="15">
      <c r="A61" s="1279" t="s">
        <v>663</v>
      </c>
      <c r="B61" s="1279"/>
      <c r="C61" s="1279"/>
      <c r="D61" s="1279"/>
      <c r="E61" s="1279"/>
    </row>
    <row r="63" spans="1:5" ht="15.75">
      <c r="A63" s="1291" t="s">
        <v>183</v>
      </c>
      <c r="B63" s="1291"/>
      <c r="C63" s="1291"/>
      <c r="D63" s="1291"/>
      <c r="E63" s="108"/>
    </row>
    <row r="65" spans="1:5" ht="15">
      <c r="A65" s="1279" t="s">
        <v>664</v>
      </c>
      <c r="B65" s="1279"/>
      <c r="C65" s="1279"/>
      <c r="D65" s="1279"/>
      <c r="E65" s="1279"/>
    </row>
    <row r="66" spans="1:5" s="123" customFormat="1" ht="15">
      <c r="A66" s="116"/>
      <c r="B66" s="116"/>
      <c r="C66" s="116"/>
      <c r="D66" s="116"/>
      <c r="E66" s="116"/>
    </row>
    <row r="67" spans="1:5" s="123" customFormat="1" ht="15">
      <c r="A67" s="116"/>
      <c r="B67" s="116" t="s">
        <v>186</v>
      </c>
      <c r="C67" s="126"/>
      <c r="D67" s="116"/>
      <c r="E67" s="116"/>
    </row>
    <row r="68" spans="1:5" s="123" customFormat="1" ht="15.75">
      <c r="A68" s="127">
        <v>464112</v>
      </c>
      <c r="B68" s="127" t="s">
        <v>1018</v>
      </c>
      <c r="C68" s="128"/>
      <c r="D68" s="128"/>
      <c r="E68" s="129"/>
    </row>
    <row r="69" s="123" customFormat="1" ht="15"/>
    <row r="70" spans="1:5" ht="15.75">
      <c r="A70" s="1291" t="s">
        <v>177</v>
      </c>
      <c r="B70" s="1291"/>
      <c r="C70" s="1291"/>
      <c r="D70" s="1291"/>
      <c r="E70" s="108">
        <f>+E68</f>
        <v>0</v>
      </c>
    </row>
    <row r="72" spans="1:5" ht="15.75">
      <c r="A72" s="1293" t="s">
        <v>973</v>
      </c>
      <c r="B72" s="1293"/>
      <c r="C72" s="1293"/>
      <c r="D72" s="1293"/>
      <c r="E72" s="110">
        <f>+E70+E63+E59+E55</f>
        <v>0</v>
      </c>
    </row>
  </sheetData>
  <sheetProtection/>
  <mergeCells count="26">
    <mergeCell ref="A70:D70"/>
    <mergeCell ref="A4:E4"/>
    <mergeCell ref="A72:D72"/>
    <mergeCell ref="A55:D55"/>
    <mergeCell ref="A57:E57"/>
    <mergeCell ref="A59:D59"/>
    <mergeCell ref="A61:E61"/>
    <mergeCell ref="A5:E5"/>
    <mergeCell ref="A7:D7"/>
    <mergeCell ref="A10:E10"/>
    <mergeCell ref="A42:D42"/>
    <mergeCell ref="A44:E44"/>
    <mergeCell ref="A12:D12"/>
    <mergeCell ref="A15:E15"/>
    <mergeCell ref="A17:D17"/>
    <mergeCell ref="A19:E19"/>
    <mergeCell ref="B2:E2"/>
    <mergeCell ref="B1:E1"/>
    <mergeCell ref="A63:D63"/>
    <mergeCell ref="A65:E65"/>
    <mergeCell ref="A46:D46"/>
    <mergeCell ref="A48:D48"/>
    <mergeCell ref="A51:E51"/>
    <mergeCell ref="A53:E53"/>
    <mergeCell ref="A21:D21"/>
    <mergeCell ref="A23:E23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1"/>
  </sheetPr>
  <dimension ref="A1:F33"/>
  <sheetViews>
    <sheetView view="pageBreakPreview" zoomScaleNormal="85" zoomScaleSheetLayoutView="100" zoomScalePageLayoutView="0" workbookViewId="0" topLeftCell="A7">
      <selection activeCell="B2" sqref="B2:E2"/>
    </sheetView>
  </sheetViews>
  <sheetFormatPr defaultColWidth="9.140625" defaultRowHeight="12.75"/>
  <cols>
    <col min="1" max="1" width="13.57421875" style="0" bestFit="1" customWidth="1"/>
    <col min="2" max="2" width="33.57421875" style="0" bestFit="1" customWidth="1"/>
    <col min="3" max="5" width="11.8515625" style="0" bestFit="1" customWidth="1"/>
    <col min="6" max="6" width="10.57421875" style="0" bestFit="1" customWidth="1"/>
  </cols>
  <sheetData>
    <row r="1" spans="2:5" ht="27" customHeight="1">
      <c r="B1" s="1325" t="s">
        <v>130</v>
      </c>
      <c r="C1" s="1326"/>
      <c r="D1" s="1326"/>
      <c r="E1" s="1326"/>
    </row>
    <row r="2" spans="2:5" ht="22.5" customHeight="1">
      <c r="B2" s="1325" t="s">
        <v>1204</v>
      </c>
      <c r="C2" s="1325"/>
      <c r="D2" s="1325"/>
      <c r="E2" s="1325"/>
    </row>
    <row r="4" spans="1:5" ht="15">
      <c r="A4" s="1271" t="s">
        <v>163</v>
      </c>
      <c r="B4" s="1271"/>
      <c r="C4" s="1271"/>
      <c r="D4" s="1271"/>
      <c r="E4" s="1271"/>
    </row>
    <row r="5" spans="1:6" ht="12.75">
      <c r="A5" s="1129" t="s">
        <v>1499</v>
      </c>
      <c r="B5" s="1129"/>
      <c r="C5" s="1129"/>
      <c r="D5" s="1129"/>
      <c r="E5" s="1129"/>
      <c r="F5" s="8"/>
    </row>
    <row r="6" spans="1:6" ht="12.75">
      <c r="A6" s="65"/>
      <c r="B6" s="65"/>
      <c r="C6" s="66"/>
      <c r="D6" s="66"/>
      <c r="E6" s="66"/>
      <c r="F6" s="8"/>
    </row>
    <row r="7" spans="1:6" ht="15.75">
      <c r="A7" s="1272" t="s">
        <v>1503</v>
      </c>
      <c r="B7" s="1272"/>
      <c r="C7" s="1272"/>
      <c r="D7" s="1272"/>
      <c r="E7" s="67"/>
      <c r="F7" s="8"/>
    </row>
    <row r="8" spans="1:6" ht="12.75">
      <c r="A8" s="65"/>
      <c r="B8" s="65"/>
      <c r="C8" s="66"/>
      <c r="D8" s="66"/>
      <c r="E8" s="66"/>
      <c r="F8" s="8"/>
    </row>
    <row r="9" spans="1:6" ht="12.75">
      <c r="A9" s="65"/>
      <c r="B9" s="65"/>
      <c r="C9" s="66"/>
      <c r="D9" s="66"/>
      <c r="E9" s="66"/>
      <c r="F9" s="8"/>
    </row>
    <row r="10" spans="1:6" ht="12.75">
      <c r="A10" s="1134" t="s">
        <v>1504</v>
      </c>
      <c r="B10" s="1263"/>
      <c r="C10" s="1263"/>
      <c r="D10" s="1263"/>
      <c r="E10" s="1263"/>
      <c r="F10" s="8"/>
    </row>
    <row r="11" spans="1:6" ht="12.75">
      <c r="A11" s="65"/>
      <c r="B11" s="65"/>
      <c r="C11" s="66"/>
      <c r="D11" s="66"/>
      <c r="E11" s="66"/>
      <c r="F11" s="8"/>
    </row>
    <row r="12" spans="1:6" ht="12.75">
      <c r="A12" s="65"/>
      <c r="B12" s="65"/>
      <c r="C12" s="66"/>
      <c r="D12" s="66"/>
      <c r="E12" s="66"/>
      <c r="F12" s="8"/>
    </row>
    <row r="13" spans="1:6" ht="15.75">
      <c r="A13" s="1272" t="s">
        <v>992</v>
      </c>
      <c r="B13" s="1272"/>
      <c r="C13" s="1272"/>
      <c r="D13" s="1272"/>
      <c r="E13" s="67"/>
      <c r="F13" s="8"/>
    </row>
    <row r="14" spans="1:6" ht="12.75">
      <c r="A14" s="65"/>
      <c r="B14" s="65"/>
      <c r="C14" s="66"/>
      <c r="D14" s="66"/>
      <c r="E14" s="66"/>
      <c r="F14" s="8"/>
    </row>
    <row r="15" spans="1:6" ht="12.75">
      <c r="A15" s="65"/>
      <c r="B15" s="65"/>
      <c r="C15" s="66"/>
      <c r="D15" s="66"/>
      <c r="E15" s="66"/>
      <c r="F15" s="8"/>
    </row>
    <row r="16" spans="1:6" ht="12.75">
      <c r="A16" s="1129" t="s">
        <v>1506</v>
      </c>
      <c r="B16" s="1129"/>
      <c r="C16" s="1129"/>
      <c r="D16" s="1129"/>
      <c r="E16" s="1129"/>
      <c r="F16" s="8"/>
    </row>
    <row r="17" ht="12.75">
      <c r="F17" s="8"/>
    </row>
    <row r="18" spans="1:6" ht="15.75">
      <c r="A18" s="1272" t="s">
        <v>162</v>
      </c>
      <c r="B18" s="1272"/>
      <c r="C18" s="1272"/>
      <c r="D18" s="1272"/>
      <c r="E18" s="71"/>
      <c r="F18" s="8"/>
    </row>
    <row r="19" spans="1:5" ht="15.75">
      <c r="A19" s="78"/>
      <c r="B19" s="78"/>
      <c r="C19" s="78"/>
      <c r="D19" s="78"/>
      <c r="E19" s="79"/>
    </row>
    <row r="20" spans="1:5" ht="12.75">
      <c r="A20" s="1129" t="s">
        <v>190</v>
      </c>
      <c r="B20" s="1129"/>
      <c r="C20" s="1129"/>
      <c r="D20" s="1129"/>
      <c r="E20" s="1129"/>
    </row>
    <row r="22" spans="1:5" ht="15.75">
      <c r="A22" s="1272" t="s">
        <v>158</v>
      </c>
      <c r="B22" s="1272"/>
      <c r="C22" s="1272"/>
      <c r="D22" s="1272"/>
      <c r="E22" s="76"/>
    </row>
    <row r="23" spans="1:5" ht="15.75">
      <c r="A23" s="78"/>
      <c r="B23" s="78"/>
      <c r="C23" s="78"/>
      <c r="D23" s="78"/>
      <c r="E23" s="80"/>
    </row>
    <row r="24" spans="1:5" ht="12.75">
      <c r="A24" s="1129" t="s">
        <v>184</v>
      </c>
      <c r="B24" s="1129"/>
      <c r="C24" s="1129"/>
      <c r="D24" s="1129"/>
      <c r="E24" s="1129"/>
    </row>
    <row r="25" spans="1:5" ht="12.75">
      <c r="A25" s="552">
        <v>5831183</v>
      </c>
      <c r="B25" s="330" t="s">
        <v>1103</v>
      </c>
      <c r="C25" s="553"/>
      <c r="D25" s="553">
        <f>+C26</f>
        <v>3600000</v>
      </c>
      <c r="E25" s="87">
        <f>+D25/1000</f>
        <v>3600</v>
      </c>
    </row>
    <row r="26" spans="1:5" ht="12.75">
      <c r="A26" s="314"/>
      <c r="B26" s="319" t="s">
        <v>187</v>
      </c>
      <c r="C26" s="320">
        <f>600*2000*3</f>
        <v>3600000</v>
      </c>
      <c r="D26" s="314"/>
      <c r="E26" s="314"/>
    </row>
    <row r="27" spans="1:5" ht="15.75">
      <c r="A27" s="1275" t="s">
        <v>189</v>
      </c>
      <c r="B27" s="1275"/>
      <c r="C27" s="1275"/>
      <c r="D27" s="1275"/>
      <c r="E27" s="448">
        <f>+E25</f>
        <v>3600</v>
      </c>
    </row>
    <row r="28" spans="1:5" ht="12.75">
      <c r="A28" s="81"/>
      <c r="B28" s="81"/>
      <c r="C28" s="81"/>
      <c r="D28" s="81"/>
      <c r="E28" s="55"/>
    </row>
    <row r="29" spans="1:5" ht="12.75">
      <c r="A29" s="1129" t="s">
        <v>1515</v>
      </c>
      <c r="B29" s="1129"/>
      <c r="C29" s="1129"/>
      <c r="D29" s="1129"/>
      <c r="E29" s="1129"/>
    </row>
    <row r="31" spans="1:5" ht="15.75">
      <c r="A31" s="1272" t="s">
        <v>1516</v>
      </c>
      <c r="B31" s="1272"/>
      <c r="C31" s="1272"/>
      <c r="D31" s="1272"/>
      <c r="E31" s="76"/>
    </row>
    <row r="33" spans="1:5" ht="15.75">
      <c r="A33" s="1268" t="s">
        <v>972</v>
      </c>
      <c r="B33" s="1268"/>
      <c r="C33" s="1268"/>
      <c r="D33" s="1268"/>
      <c r="E33" s="77">
        <f>+E31+E22+E18+E13+E7+E27</f>
        <v>3600</v>
      </c>
    </row>
  </sheetData>
  <sheetProtection/>
  <mergeCells count="16">
    <mergeCell ref="A18:D18"/>
    <mergeCell ref="A20:E20"/>
    <mergeCell ref="A4:E4"/>
    <mergeCell ref="A5:E5"/>
    <mergeCell ref="A7:D7"/>
    <mergeCell ref="A10:E10"/>
    <mergeCell ref="B1:E1"/>
    <mergeCell ref="B2:E2"/>
    <mergeCell ref="A31:D31"/>
    <mergeCell ref="A33:D33"/>
    <mergeCell ref="A22:D22"/>
    <mergeCell ref="A24:E24"/>
    <mergeCell ref="A27:D27"/>
    <mergeCell ref="A29:E29"/>
    <mergeCell ref="A13:D13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F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1.8515625" style="0" bestFit="1" customWidth="1"/>
    <col min="2" max="2" width="14.140625" style="0" customWidth="1"/>
    <col min="3" max="3" width="5.7109375" style="0" bestFit="1" customWidth="1"/>
    <col min="4" max="4" width="11.57421875" style="0" bestFit="1" customWidth="1"/>
    <col min="5" max="5" width="8.57421875" style="0" bestFit="1" customWidth="1"/>
    <col min="6" max="6" width="16.00390625" style="0" bestFit="1" customWidth="1"/>
  </cols>
  <sheetData>
    <row r="1" spans="1:6" ht="12.75">
      <c r="A1" s="1133" t="s">
        <v>474</v>
      </c>
      <c r="B1" s="1133"/>
      <c r="C1" s="1133"/>
      <c r="D1" s="1133"/>
      <c r="E1" s="1133"/>
      <c r="F1" s="1133"/>
    </row>
    <row r="2" ht="13.5" thickBot="1"/>
    <row r="3" spans="1:6" ht="26.25" thickBot="1">
      <c r="A3" s="592" t="s">
        <v>930</v>
      </c>
      <c r="B3" s="593" t="s">
        <v>931</v>
      </c>
      <c r="C3" s="594" t="s">
        <v>932</v>
      </c>
      <c r="D3" s="594" t="s">
        <v>1108</v>
      </c>
      <c r="E3" s="594" t="s">
        <v>933</v>
      </c>
      <c r="F3" s="595" t="s">
        <v>944</v>
      </c>
    </row>
    <row r="4" spans="1:6" ht="12.75">
      <c r="A4" s="578" t="s">
        <v>1489</v>
      </c>
      <c r="B4" s="579">
        <v>0</v>
      </c>
      <c r="C4" s="854">
        <f>+B4*0.05</f>
        <v>0</v>
      </c>
      <c r="D4" s="580">
        <f>+C4*964500</f>
        <v>0</v>
      </c>
      <c r="E4" s="581">
        <f>+ROUND(D4,-3)/1000</f>
        <v>0</v>
      </c>
      <c r="F4" s="582">
        <f>+D4/4</f>
        <v>0</v>
      </c>
    </row>
    <row r="5" spans="1:6" ht="12.75">
      <c r="A5" s="583" t="s">
        <v>934</v>
      </c>
      <c r="B5" s="178">
        <v>0</v>
      </c>
      <c r="C5" s="180">
        <f aca="true" t="shared" si="0" ref="C5:C19">+B5*0.05</f>
        <v>0</v>
      </c>
      <c r="D5" s="7">
        <f aca="true" t="shared" si="1" ref="D5:D19">+C5*964500</f>
        <v>0</v>
      </c>
      <c r="E5" s="6">
        <f aca="true" t="shared" si="2" ref="E5:E19">+ROUND(D5,-3)/1000</f>
        <v>0</v>
      </c>
      <c r="F5" s="584">
        <f aca="true" t="shared" si="3" ref="F5:F19">+D5/4</f>
        <v>0</v>
      </c>
    </row>
    <row r="6" spans="1:6" ht="12.75">
      <c r="A6" s="583" t="s">
        <v>935</v>
      </c>
      <c r="B6" s="178">
        <v>0</v>
      </c>
      <c r="C6" s="180">
        <f t="shared" si="0"/>
        <v>0</v>
      </c>
      <c r="D6" s="7">
        <f t="shared" si="1"/>
        <v>0</v>
      </c>
      <c r="E6" s="6">
        <f t="shared" si="2"/>
        <v>0</v>
      </c>
      <c r="F6" s="584">
        <f t="shared" si="3"/>
        <v>0</v>
      </c>
    </row>
    <row r="7" spans="1:6" ht="12.75">
      <c r="A7" s="583" t="s">
        <v>42</v>
      </c>
      <c r="B7" s="1065">
        <v>26</v>
      </c>
      <c r="C7" s="180">
        <f t="shared" si="0"/>
        <v>1.3</v>
      </c>
      <c r="D7" s="1074">
        <f t="shared" si="1"/>
        <v>1253850</v>
      </c>
      <c r="E7" s="6">
        <f t="shared" si="2"/>
        <v>1254</v>
      </c>
      <c r="F7" s="584">
        <f t="shared" si="3"/>
        <v>313462.5</v>
      </c>
    </row>
    <row r="8" spans="1:6" ht="12.75">
      <c r="A8" s="583" t="s">
        <v>936</v>
      </c>
      <c r="B8" s="178">
        <v>0</v>
      </c>
      <c r="C8" s="180">
        <f t="shared" si="0"/>
        <v>0</v>
      </c>
      <c r="D8" s="7">
        <f t="shared" si="1"/>
        <v>0</v>
      </c>
      <c r="E8" s="6">
        <f t="shared" si="2"/>
        <v>0</v>
      </c>
      <c r="F8" s="584">
        <f t="shared" si="3"/>
        <v>0</v>
      </c>
    </row>
    <row r="9" spans="1:6" ht="12.75">
      <c r="A9" s="583" t="s">
        <v>937</v>
      </c>
      <c r="B9" s="178">
        <v>0</v>
      </c>
      <c r="C9" s="180">
        <f t="shared" si="0"/>
        <v>0</v>
      </c>
      <c r="D9" s="7">
        <f t="shared" si="1"/>
        <v>0</v>
      </c>
      <c r="E9" s="6">
        <f t="shared" si="2"/>
        <v>0</v>
      </c>
      <c r="F9" s="584">
        <f t="shared" si="3"/>
        <v>0</v>
      </c>
    </row>
    <row r="10" spans="1:6" ht="12.75">
      <c r="A10" s="583" t="s">
        <v>938</v>
      </c>
      <c r="B10" s="664">
        <v>0</v>
      </c>
      <c r="C10" s="180">
        <v>0</v>
      </c>
      <c r="D10" s="7">
        <f t="shared" si="1"/>
        <v>0</v>
      </c>
      <c r="E10" s="6">
        <f t="shared" si="2"/>
        <v>0</v>
      </c>
      <c r="F10" s="584">
        <f t="shared" si="3"/>
        <v>0</v>
      </c>
    </row>
    <row r="11" spans="1:6" ht="12.75">
      <c r="A11" s="583" t="s">
        <v>939</v>
      </c>
      <c r="B11" s="665">
        <v>0</v>
      </c>
      <c r="C11" s="180">
        <f>B11*0.05</f>
        <v>0</v>
      </c>
      <c r="D11" s="7">
        <v>0</v>
      </c>
      <c r="E11" s="6">
        <f t="shared" si="2"/>
        <v>0</v>
      </c>
      <c r="F11" s="584">
        <f t="shared" si="3"/>
        <v>0</v>
      </c>
    </row>
    <row r="12" spans="1:6" ht="12.75">
      <c r="A12" s="583" t="s">
        <v>940</v>
      </c>
      <c r="B12" s="178">
        <v>0</v>
      </c>
      <c r="C12" s="180">
        <f t="shared" si="0"/>
        <v>0</v>
      </c>
      <c r="D12" s="7">
        <f t="shared" si="1"/>
        <v>0</v>
      </c>
      <c r="E12" s="6">
        <f t="shared" si="2"/>
        <v>0</v>
      </c>
      <c r="F12" s="584">
        <f t="shared" si="3"/>
        <v>0</v>
      </c>
    </row>
    <row r="13" spans="1:6" ht="12.75">
      <c r="A13" s="583" t="s">
        <v>941</v>
      </c>
      <c r="B13" s="178">
        <v>0</v>
      </c>
      <c r="C13" s="180">
        <f t="shared" si="0"/>
        <v>0</v>
      </c>
      <c r="D13" s="7">
        <f t="shared" si="1"/>
        <v>0</v>
      </c>
      <c r="E13" s="6">
        <f t="shared" si="2"/>
        <v>0</v>
      </c>
      <c r="F13" s="584">
        <f t="shared" si="3"/>
        <v>0</v>
      </c>
    </row>
    <row r="14" spans="1:6" ht="12.75">
      <c r="A14" s="583" t="s">
        <v>942</v>
      </c>
      <c r="B14" s="178">
        <v>0</v>
      </c>
      <c r="C14" s="180">
        <f t="shared" si="0"/>
        <v>0</v>
      </c>
      <c r="D14" s="7">
        <f t="shared" si="1"/>
        <v>0</v>
      </c>
      <c r="E14" s="6">
        <f t="shared" si="2"/>
        <v>0</v>
      </c>
      <c r="F14" s="584">
        <f t="shared" si="3"/>
        <v>0</v>
      </c>
    </row>
    <row r="15" spans="1:6" ht="12.75">
      <c r="A15" s="583" t="s">
        <v>943</v>
      </c>
      <c r="B15" s="178">
        <v>33</v>
      </c>
      <c r="C15" s="180">
        <f t="shared" si="0"/>
        <v>1.6500000000000001</v>
      </c>
      <c r="D15" s="7">
        <f t="shared" si="1"/>
        <v>1591425.0000000002</v>
      </c>
      <c r="E15" s="6">
        <f t="shared" si="2"/>
        <v>1591</v>
      </c>
      <c r="F15" s="584">
        <f t="shared" si="3"/>
        <v>397856.25000000006</v>
      </c>
    </row>
    <row r="16" spans="1:6" ht="12.75">
      <c r="A16" s="583" t="s">
        <v>1509</v>
      </c>
      <c r="B16" s="178">
        <v>0</v>
      </c>
      <c r="C16" s="180">
        <f t="shared" si="0"/>
        <v>0</v>
      </c>
      <c r="D16" s="7">
        <f t="shared" si="1"/>
        <v>0</v>
      </c>
      <c r="E16" s="6">
        <f t="shared" si="2"/>
        <v>0</v>
      </c>
      <c r="F16" s="584">
        <f t="shared" si="3"/>
        <v>0</v>
      </c>
    </row>
    <row r="17" spans="1:6" ht="12.75">
      <c r="A17" s="583" t="s">
        <v>266</v>
      </c>
      <c r="B17" s="1065">
        <v>2</v>
      </c>
      <c r="C17" s="180">
        <f t="shared" si="0"/>
        <v>0.1</v>
      </c>
      <c r="D17" s="7">
        <f t="shared" si="1"/>
        <v>96450</v>
      </c>
      <c r="E17" s="6">
        <f t="shared" si="2"/>
        <v>96</v>
      </c>
      <c r="F17" s="584">
        <f t="shared" si="3"/>
        <v>24112.5</v>
      </c>
    </row>
    <row r="18" spans="1:6" ht="12.75">
      <c r="A18" s="583" t="s">
        <v>74</v>
      </c>
      <c r="B18" s="178">
        <v>3</v>
      </c>
      <c r="C18" s="180">
        <f t="shared" si="0"/>
        <v>0.15000000000000002</v>
      </c>
      <c r="D18" s="7">
        <f t="shared" si="1"/>
        <v>144675.00000000003</v>
      </c>
      <c r="E18" s="6">
        <f t="shared" si="2"/>
        <v>145</v>
      </c>
      <c r="F18" s="584">
        <f t="shared" si="3"/>
        <v>36168.75000000001</v>
      </c>
    </row>
    <row r="19" spans="1:6" ht="13.5" thickBot="1">
      <c r="A19" s="603" t="s">
        <v>127</v>
      </c>
      <c r="B19" s="585">
        <v>0</v>
      </c>
      <c r="C19" s="855">
        <f t="shared" si="0"/>
        <v>0</v>
      </c>
      <c r="D19" s="586">
        <f t="shared" si="1"/>
        <v>0</v>
      </c>
      <c r="E19" s="587">
        <f t="shared" si="2"/>
        <v>0</v>
      </c>
      <c r="F19" s="588">
        <f t="shared" si="3"/>
        <v>0</v>
      </c>
    </row>
    <row r="20" spans="1:6" ht="13.5" thickBot="1">
      <c r="A20" s="589"/>
      <c r="B20" s="590">
        <f>SUM(B4:B18)</f>
        <v>64</v>
      </c>
      <c r="C20" s="590">
        <f>SUM(C4:C19)</f>
        <v>3.2</v>
      </c>
      <c r="D20" s="591">
        <f>SUM(D4:D19)</f>
        <v>3086400</v>
      </c>
      <c r="E20" s="591">
        <f>SUM(E4:E19)</f>
        <v>3086</v>
      </c>
      <c r="F20" s="591">
        <f>SUM(F4:F19)</f>
        <v>771600</v>
      </c>
    </row>
    <row r="24" ht="12.75">
      <c r="E24">
        <v>964500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50"/>
  </sheetPr>
  <dimension ref="A3:J36"/>
  <sheetViews>
    <sheetView view="pageBreakPreview" zoomScale="75" zoomScaleSheetLayoutView="75" zoomScalePageLayoutView="0" workbookViewId="0" topLeftCell="A19">
      <selection activeCell="A4" sqref="A4:C4"/>
    </sheetView>
  </sheetViews>
  <sheetFormatPr defaultColWidth="9.140625" defaultRowHeight="27" customHeight="1"/>
  <cols>
    <col min="1" max="1" width="51.8515625" style="374" customWidth="1"/>
    <col min="2" max="2" width="18.00390625" style="374" customWidth="1"/>
    <col min="3" max="3" width="18.8515625" style="374" customWidth="1"/>
    <col min="4" max="4" width="33.140625" style="374" customWidth="1"/>
    <col min="5" max="7" width="20.140625" style="374" customWidth="1"/>
    <col min="8" max="8" width="23.00390625" style="374" customWidth="1"/>
    <col min="9" max="9" width="9.421875" style="374" bestFit="1" customWidth="1"/>
    <col min="10" max="16384" width="9.140625" style="374" customWidth="1"/>
  </cols>
  <sheetData>
    <row r="3" spans="2:3" ht="27" customHeight="1">
      <c r="B3" s="1327"/>
      <c r="C3" s="1327"/>
    </row>
    <row r="4" spans="1:3" ht="63" customHeight="1">
      <c r="A4" s="1328" t="s">
        <v>659</v>
      </c>
      <c r="B4" s="1328"/>
      <c r="C4" s="1328"/>
    </row>
    <row r="5" spans="1:4" s="44" customFormat="1" ht="52.5" customHeight="1">
      <c r="A5" s="132" t="s">
        <v>1037</v>
      </c>
      <c r="B5" s="132" t="s">
        <v>41</v>
      </c>
      <c r="C5" s="132" t="s">
        <v>42</v>
      </c>
      <c r="D5" s="373"/>
    </row>
    <row r="6" spans="1:10" ht="27" customHeight="1">
      <c r="A6" s="133" t="s">
        <v>65</v>
      </c>
      <c r="B6" s="857">
        <f>B7+B8</f>
        <v>265756</v>
      </c>
      <c r="C6" s="857" t="e">
        <f>C7+C8</f>
        <v>#REF!</v>
      </c>
      <c r="D6" s="135"/>
      <c r="E6" s="135"/>
      <c r="F6" s="135"/>
      <c r="G6" s="135"/>
      <c r="H6" s="135"/>
      <c r="I6" s="136"/>
      <c r="J6" s="136"/>
    </row>
    <row r="7" spans="1:10" ht="27" customHeight="1">
      <c r="A7" s="133" t="s">
        <v>66</v>
      </c>
      <c r="B7" s="857">
        <f>220243+38287</f>
        <v>258530</v>
      </c>
      <c r="C7" s="857" t="e">
        <f>#REF!</f>
        <v>#REF!</v>
      </c>
      <c r="D7" s="869" t="s">
        <v>654</v>
      </c>
      <c r="E7" s="135"/>
      <c r="F7" s="135"/>
      <c r="G7" s="135"/>
      <c r="H7" s="135"/>
      <c r="I7" s="136"/>
      <c r="J7" s="136"/>
    </row>
    <row r="8" spans="1:10" ht="27" customHeight="1">
      <c r="A8" s="133" t="s">
        <v>67</v>
      </c>
      <c r="B8" s="859">
        <f>6751+475</f>
        <v>7226</v>
      </c>
      <c r="C8" s="857">
        <v>0</v>
      </c>
      <c r="D8" s="869" t="s">
        <v>656</v>
      </c>
      <c r="E8" s="135"/>
      <c r="F8" s="135"/>
      <c r="G8" s="135"/>
      <c r="H8" s="135"/>
      <c r="I8" s="136"/>
      <c r="J8" s="136"/>
    </row>
    <row r="9" spans="1:10" ht="27" customHeight="1">
      <c r="A9" s="133" t="s">
        <v>43</v>
      </c>
      <c r="B9" s="857">
        <v>0</v>
      </c>
      <c r="C9" s="857" t="e">
        <f>#REF!</f>
        <v>#REF!</v>
      </c>
      <c r="D9" s="135"/>
      <c r="E9" s="135"/>
      <c r="F9" s="135"/>
      <c r="G9" s="135"/>
      <c r="H9" s="135"/>
      <c r="I9" s="136"/>
      <c r="J9" s="136"/>
    </row>
    <row r="10" spans="1:10" ht="27" customHeight="1">
      <c r="A10" s="133" t="s">
        <v>811</v>
      </c>
      <c r="B10" s="857">
        <v>78337</v>
      </c>
      <c r="C10" s="857">
        <v>30393</v>
      </c>
      <c r="D10" s="135"/>
      <c r="E10" s="135"/>
      <c r="F10" s="135"/>
      <c r="G10" s="135"/>
      <c r="H10" s="135"/>
      <c r="I10" s="136"/>
      <c r="J10" s="136"/>
    </row>
    <row r="11" spans="1:10" ht="27" customHeight="1">
      <c r="A11" s="133" t="s">
        <v>812</v>
      </c>
      <c r="B11" s="857">
        <v>8957</v>
      </c>
      <c r="C11" s="857">
        <v>99</v>
      </c>
      <c r="D11" s="383" t="s">
        <v>655</v>
      </c>
      <c r="E11" s="135"/>
      <c r="F11" s="134"/>
      <c r="G11" s="135"/>
      <c r="H11" s="135"/>
      <c r="I11" s="136"/>
      <c r="J11" s="136"/>
    </row>
    <row r="12" spans="1:10" ht="27" customHeight="1">
      <c r="A12" s="133" t="s">
        <v>469</v>
      </c>
      <c r="B12" s="857">
        <f>5670+14643-13902</f>
        <v>6411</v>
      </c>
      <c r="C12" s="857">
        <f>1575-1050</f>
        <v>525</v>
      </c>
      <c r="D12" s="869" t="s">
        <v>657</v>
      </c>
      <c r="E12" s="135"/>
      <c r="F12" s="135"/>
      <c r="G12" s="135"/>
      <c r="H12" s="135"/>
      <c r="I12" s="135"/>
      <c r="J12" s="136"/>
    </row>
    <row r="13" spans="1:10" ht="27" customHeight="1">
      <c r="A13" s="133" t="s">
        <v>44</v>
      </c>
      <c r="B13" s="857">
        <v>1732</v>
      </c>
      <c r="C13" s="857">
        <v>0</v>
      </c>
      <c r="D13" s="135"/>
      <c r="E13" s="135"/>
      <c r="F13" s="135"/>
      <c r="G13" s="135"/>
      <c r="H13" s="135"/>
      <c r="I13" s="136"/>
      <c r="J13" s="136"/>
    </row>
    <row r="14" spans="1:10" ht="27" customHeight="1">
      <c r="A14" s="133" t="s">
        <v>45</v>
      </c>
      <c r="B14" s="857">
        <v>2434</v>
      </c>
      <c r="C14" s="857">
        <v>0</v>
      </c>
      <c r="D14" s="135"/>
      <c r="E14" s="135"/>
      <c r="F14" s="135"/>
      <c r="G14" s="135"/>
      <c r="H14" s="135"/>
      <c r="I14" s="136"/>
      <c r="J14" s="136"/>
    </row>
    <row r="15" spans="1:10" ht="27" customHeight="1">
      <c r="A15" s="133" t="s">
        <v>68</v>
      </c>
      <c r="B15" s="134">
        <v>0</v>
      </c>
      <c r="C15" s="134">
        <v>0</v>
      </c>
      <c r="D15" s="135"/>
      <c r="E15" s="135"/>
      <c r="F15" s="135"/>
      <c r="G15" s="135"/>
      <c r="H15" s="135"/>
      <c r="I15" s="136"/>
      <c r="J15" s="136"/>
    </row>
    <row r="16" spans="1:10" ht="27" customHeight="1">
      <c r="A16" s="133" t="s">
        <v>69</v>
      </c>
      <c r="B16" s="857">
        <v>1523</v>
      </c>
      <c r="C16" s="134">
        <v>0</v>
      </c>
      <c r="D16" s="135"/>
      <c r="E16" s="135"/>
      <c r="F16" s="135"/>
      <c r="G16" s="135"/>
      <c r="H16" s="135"/>
      <c r="I16" s="136"/>
      <c r="J16" s="136"/>
    </row>
    <row r="17" spans="1:10" ht="27" customHeight="1">
      <c r="A17" s="133" t="s">
        <v>46</v>
      </c>
      <c r="B17" s="134">
        <f>SUM(B9:B16)</f>
        <v>99394</v>
      </c>
      <c r="C17" s="134" t="e">
        <f>SUM(C9:C16)</f>
        <v>#REF!</v>
      </c>
      <c r="D17" s="135"/>
      <c r="E17" s="135"/>
      <c r="F17" s="135"/>
      <c r="G17" s="135"/>
      <c r="H17" s="135"/>
      <c r="I17" s="136"/>
      <c r="J17" s="136"/>
    </row>
    <row r="18" spans="1:10" ht="27" customHeight="1">
      <c r="A18" s="131" t="s">
        <v>47</v>
      </c>
      <c r="B18" s="134">
        <f>B6-B17</f>
        <v>166362</v>
      </c>
      <c r="C18" s="134" t="e">
        <f>C6-C17</f>
        <v>#REF!</v>
      </c>
      <c r="D18" s="135"/>
      <c r="E18" s="135"/>
      <c r="F18" s="135"/>
      <c r="G18" s="135"/>
      <c r="H18" s="135"/>
      <c r="I18" s="136"/>
      <c r="J18" s="136"/>
    </row>
    <row r="19" spans="1:10" ht="27" customHeight="1">
      <c r="A19" s="133" t="s">
        <v>1440</v>
      </c>
      <c r="B19" s="857">
        <v>460</v>
      </c>
      <c r="C19" s="857">
        <v>159</v>
      </c>
      <c r="D19" s="135"/>
      <c r="E19" s="135"/>
      <c r="F19" s="135"/>
      <c r="G19" s="135"/>
      <c r="H19" s="135"/>
      <c r="I19" s="136"/>
      <c r="J19" s="136"/>
    </row>
    <row r="20" spans="1:10" ht="27" customHeight="1">
      <c r="A20" s="133" t="s">
        <v>1442</v>
      </c>
      <c r="B20" s="134">
        <f>B18/B19*1000</f>
        <v>361656.52173913043</v>
      </c>
      <c r="C20" s="134" t="e">
        <f>C18/C19*1000</f>
        <v>#REF!</v>
      </c>
      <c r="D20" s="135"/>
      <c r="E20" s="135"/>
      <c r="F20" s="135"/>
      <c r="G20" s="135"/>
      <c r="H20" s="135"/>
      <c r="I20" s="136"/>
      <c r="J20" s="136"/>
    </row>
    <row r="21" spans="1:10" ht="27" customHeight="1">
      <c r="A21" s="133" t="s">
        <v>406</v>
      </c>
      <c r="B21" s="857">
        <f>1546+1867+13902</f>
        <v>17315</v>
      </c>
      <c r="C21" s="857">
        <f>480+1050</f>
        <v>1530</v>
      </c>
      <c r="D21" s="135"/>
      <c r="E21" s="135"/>
      <c r="F21" s="135"/>
      <c r="G21" s="135"/>
      <c r="H21" s="135"/>
      <c r="I21" s="138"/>
      <c r="J21" s="136"/>
    </row>
    <row r="22" spans="1:8" ht="27" customHeight="1">
      <c r="A22" s="133" t="s">
        <v>1443</v>
      </c>
      <c r="B22" s="857">
        <v>111</v>
      </c>
      <c r="C22" s="857">
        <v>14</v>
      </c>
      <c r="D22" s="137"/>
      <c r="E22" s="137"/>
      <c r="F22" s="137"/>
      <c r="G22" s="137"/>
      <c r="H22" s="137"/>
    </row>
    <row r="23" spans="1:8" ht="27" customHeight="1">
      <c r="A23" s="133" t="s">
        <v>1445</v>
      </c>
      <c r="B23" s="134">
        <f>B21/B22*1000</f>
        <v>155990.99099099098</v>
      </c>
      <c r="C23" s="134">
        <f>C21/C22*1000</f>
        <v>109285.71428571429</v>
      </c>
      <c r="D23" s="137"/>
      <c r="E23" s="137"/>
      <c r="F23" s="137"/>
      <c r="G23" s="137"/>
      <c r="H23" s="137"/>
    </row>
    <row r="24" spans="1:3" ht="27" customHeight="1">
      <c r="A24" s="133" t="s">
        <v>1444</v>
      </c>
      <c r="B24" s="134">
        <f>B20-B23</f>
        <v>205665.53074813946</v>
      </c>
      <c r="C24" s="134" t="e">
        <f>C20-C23</f>
        <v>#REF!</v>
      </c>
    </row>
    <row r="25" spans="1:3" ht="27" customHeight="1">
      <c r="A25" s="133" t="s">
        <v>810</v>
      </c>
      <c r="B25" s="134">
        <f>B24</f>
        <v>205665.53074813946</v>
      </c>
      <c r="C25" s="134" t="e">
        <f>C24</f>
        <v>#REF!</v>
      </c>
    </row>
    <row r="26" spans="1:8" s="44" customFormat="1" ht="54.75" customHeight="1">
      <c r="A26" s="132" t="s">
        <v>1451</v>
      </c>
      <c r="B26" s="335" t="s">
        <v>356</v>
      </c>
      <c r="C26" s="336" t="s">
        <v>361</v>
      </c>
      <c r="D26" s="132" t="s">
        <v>360</v>
      </c>
      <c r="E26" s="336" t="s">
        <v>362</v>
      </c>
      <c r="F26" s="336" t="s">
        <v>658</v>
      </c>
      <c r="G26" s="132" t="s">
        <v>355</v>
      </c>
      <c r="H26" s="132" t="s">
        <v>363</v>
      </c>
    </row>
    <row r="27" spans="1:9" ht="27" customHeight="1">
      <c r="A27" s="133" t="s">
        <v>829</v>
      </c>
      <c r="B27" s="138">
        <v>12</v>
      </c>
      <c r="C27" s="134">
        <f>B25*B27</f>
        <v>2467986.3689776734</v>
      </c>
      <c r="D27" s="138">
        <v>7</v>
      </c>
      <c r="E27" s="134" t="e">
        <f>D27*C25</f>
        <v>#REF!</v>
      </c>
      <c r="F27" s="134" t="e">
        <f>C27+E27</f>
        <v>#REF!</v>
      </c>
      <c r="G27" s="134">
        <v>3900093</v>
      </c>
      <c r="H27" s="134" t="e">
        <f>F27+G27</f>
        <v>#REF!</v>
      </c>
      <c r="I27" s="374" t="s">
        <v>796</v>
      </c>
    </row>
    <row r="28" spans="1:8" ht="27" customHeight="1">
      <c r="A28" s="133" t="s">
        <v>833</v>
      </c>
      <c r="B28" s="138">
        <v>0</v>
      </c>
      <c r="C28" s="134">
        <f>B25*B28</f>
        <v>0</v>
      </c>
      <c r="D28" s="138">
        <v>0</v>
      </c>
      <c r="E28" s="134"/>
      <c r="F28" s="134">
        <f aca="true" t="shared" si="0" ref="F28:F36">C28+E28</f>
        <v>0</v>
      </c>
      <c r="G28" s="134">
        <v>0</v>
      </c>
      <c r="H28" s="134">
        <f aca="true" t="shared" si="1" ref="H28:H35">F28+G28</f>
        <v>0</v>
      </c>
    </row>
    <row r="29" spans="1:8" ht="27" customHeight="1">
      <c r="A29" s="133" t="s">
        <v>350</v>
      </c>
      <c r="B29" s="138">
        <v>10</v>
      </c>
      <c r="C29" s="134">
        <f>B25*B29</f>
        <v>2056655.3074813946</v>
      </c>
      <c r="D29" s="138">
        <v>0</v>
      </c>
      <c r="E29" s="134"/>
      <c r="F29" s="134">
        <f t="shared" si="0"/>
        <v>2056655.3074813946</v>
      </c>
      <c r="G29" s="134">
        <v>265162</v>
      </c>
      <c r="H29" s="134">
        <f t="shared" si="1"/>
        <v>2321817.3074813946</v>
      </c>
    </row>
    <row r="30" spans="1:8" ht="27" customHeight="1">
      <c r="A30" s="133" t="s">
        <v>351</v>
      </c>
      <c r="B30" s="138">
        <v>15</v>
      </c>
      <c r="C30" s="134">
        <f>B25*B30</f>
        <v>3084982.9612220917</v>
      </c>
      <c r="D30" s="138">
        <v>0</v>
      </c>
      <c r="E30" s="134"/>
      <c r="F30" s="134">
        <f t="shared" si="0"/>
        <v>3084982.9612220917</v>
      </c>
      <c r="G30" s="134">
        <v>146385</v>
      </c>
      <c r="H30" s="134">
        <f t="shared" si="1"/>
        <v>3231367.9612220917</v>
      </c>
    </row>
    <row r="31" spans="1:8" ht="27" customHeight="1">
      <c r="A31" s="133" t="s">
        <v>352</v>
      </c>
      <c r="B31" s="138">
        <v>5</v>
      </c>
      <c r="C31" s="134">
        <f>B25*B31</f>
        <v>1028327.6537406973</v>
      </c>
      <c r="D31" s="138">
        <v>0</v>
      </c>
      <c r="E31" s="134"/>
      <c r="F31" s="134">
        <f t="shared" si="0"/>
        <v>1028327.6537406973</v>
      </c>
      <c r="G31" s="134">
        <v>0</v>
      </c>
      <c r="H31" s="134">
        <f t="shared" si="1"/>
        <v>1028327.6537406973</v>
      </c>
    </row>
    <row r="32" spans="1:8" ht="27" customHeight="1">
      <c r="A32" s="133" t="s">
        <v>353</v>
      </c>
      <c r="B32" s="138">
        <f>1+1</f>
        <v>2</v>
      </c>
      <c r="C32" s="134">
        <f>B25*B32</f>
        <v>411331.0614962789</v>
      </c>
      <c r="D32" s="138">
        <v>0</v>
      </c>
      <c r="E32" s="134"/>
      <c r="F32" s="134">
        <f t="shared" si="0"/>
        <v>411331.0614962789</v>
      </c>
      <c r="G32" s="134">
        <v>-43313</v>
      </c>
      <c r="H32" s="134">
        <f t="shared" si="1"/>
        <v>368018.0614962789</v>
      </c>
    </row>
    <row r="33" spans="1:8" ht="27" customHeight="1">
      <c r="A33" s="133" t="s">
        <v>830</v>
      </c>
      <c r="B33" s="138">
        <f>5+9</f>
        <v>14</v>
      </c>
      <c r="C33" s="134">
        <f>B25*B33</f>
        <v>2879317.4304739526</v>
      </c>
      <c r="D33" s="138">
        <v>7</v>
      </c>
      <c r="E33" s="134" t="e">
        <f>D33*C25</f>
        <v>#REF!</v>
      </c>
      <c r="F33" s="134" t="e">
        <f t="shared" si="0"/>
        <v>#REF!</v>
      </c>
      <c r="G33" s="134">
        <v>0</v>
      </c>
      <c r="H33" s="134" t="e">
        <f t="shared" si="1"/>
        <v>#REF!</v>
      </c>
    </row>
    <row r="34" spans="1:8" ht="27" customHeight="1">
      <c r="A34" s="133" t="s">
        <v>831</v>
      </c>
      <c r="B34" s="138">
        <v>36</v>
      </c>
      <c r="C34" s="134">
        <f>B34*B25</f>
        <v>7403959.10693302</v>
      </c>
      <c r="D34" s="138">
        <v>0</v>
      </c>
      <c r="E34" s="134"/>
      <c r="F34" s="134">
        <f t="shared" si="0"/>
        <v>7403959.10693302</v>
      </c>
      <c r="G34" s="134">
        <v>2074047</v>
      </c>
      <c r="H34" s="134">
        <f t="shared" si="1"/>
        <v>9478006.10693302</v>
      </c>
    </row>
    <row r="35" spans="1:8" ht="27" customHeight="1">
      <c r="A35" s="133" t="s">
        <v>354</v>
      </c>
      <c r="B35" s="138">
        <v>17</v>
      </c>
      <c r="C35" s="134">
        <f>B25*B35</f>
        <v>3496314.022718371</v>
      </c>
      <c r="D35" s="138">
        <v>0</v>
      </c>
      <c r="E35" s="134"/>
      <c r="F35" s="134">
        <f t="shared" si="0"/>
        <v>3496314.022718371</v>
      </c>
      <c r="G35" s="134">
        <v>0</v>
      </c>
      <c r="H35" s="134">
        <f t="shared" si="1"/>
        <v>3496314.022718371</v>
      </c>
    </row>
    <row r="36" spans="1:8" ht="27" customHeight="1">
      <c r="A36" s="133" t="s">
        <v>1038</v>
      </c>
      <c r="B36" s="134">
        <f aca="true" t="shared" si="2" ref="B36:H36">B27+B28+B29+B30+B31+B32+B33+B34+B35</f>
        <v>111</v>
      </c>
      <c r="C36" s="134">
        <f t="shared" si="2"/>
        <v>22828873.913043477</v>
      </c>
      <c r="D36" s="134">
        <f t="shared" si="2"/>
        <v>14</v>
      </c>
      <c r="E36" s="134" t="e">
        <f t="shared" si="2"/>
        <v>#REF!</v>
      </c>
      <c r="F36" s="134" t="e">
        <f t="shared" si="0"/>
        <v>#REF!</v>
      </c>
      <c r="G36" s="134">
        <f t="shared" si="2"/>
        <v>6342374</v>
      </c>
      <c r="H36" s="405" t="e">
        <f t="shared" si="2"/>
        <v>#REF!</v>
      </c>
    </row>
  </sheetData>
  <sheetProtection/>
  <mergeCells count="2">
    <mergeCell ref="B3:C3"/>
    <mergeCell ref="A4:C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6"/>
  </sheetPr>
  <dimension ref="A1:F17"/>
  <sheetViews>
    <sheetView zoomScalePageLayoutView="0" workbookViewId="0" topLeftCell="A1">
      <selection activeCell="G16" sqref="G16"/>
    </sheetView>
  </sheetViews>
  <sheetFormatPr defaultColWidth="30.7109375" defaultRowHeight="34.5" customHeight="1"/>
  <cols>
    <col min="1" max="1" width="30.7109375" style="181" customWidth="1"/>
    <col min="2" max="2" width="9.57421875" style="333" bestFit="1" customWidth="1"/>
    <col min="3" max="3" width="18.28125" style="181" customWidth="1"/>
    <col min="4" max="4" width="21.7109375" style="181" customWidth="1"/>
    <col min="5" max="5" width="16.421875" style="181" customWidth="1"/>
    <col min="6" max="6" width="16.00390625" style="333" bestFit="1" customWidth="1"/>
    <col min="7" max="16384" width="30.7109375" style="181" customWidth="1"/>
  </cols>
  <sheetData>
    <row r="1" spans="2:4" ht="34.5" customHeight="1">
      <c r="B1" s="1329" t="s">
        <v>213</v>
      </c>
      <c r="C1" s="1330"/>
      <c r="D1" s="1330"/>
    </row>
    <row r="2" ht="19.5" customHeight="1" thickBot="1"/>
    <row r="3" spans="1:6" ht="19.5" customHeight="1" thickBot="1">
      <c r="A3" s="1031" t="s">
        <v>214</v>
      </c>
      <c r="B3" s="1032"/>
      <c r="C3" s="1032" t="s">
        <v>215</v>
      </c>
      <c r="D3" s="1032"/>
      <c r="E3" s="1032"/>
      <c r="F3" s="1032"/>
    </row>
    <row r="4" spans="1:6" ht="19.5" customHeight="1" thickBot="1">
      <c r="A4" s="1033" t="s">
        <v>216</v>
      </c>
      <c r="B4" s="1034"/>
      <c r="C4" s="1034" t="s">
        <v>217</v>
      </c>
      <c r="D4" s="1034"/>
      <c r="E4" s="1034"/>
      <c r="F4" s="1034"/>
    </row>
    <row r="5" spans="1:6" ht="19.5" customHeight="1" thickBot="1">
      <c r="A5" s="1033" t="s">
        <v>218</v>
      </c>
      <c r="B5" s="1034"/>
      <c r="C5" s="1035">
        <v>13934161</v>
      </c>
      <c r="D5" s="1034"/>
      <c r="E5" s="1034"/>
      <c r="F5" s="1034"/>
    </row>
    <row r="6" spans="1:6" ht="19.5" customHeight="1" thickBot="1">
      <c r="A6" s="1033"/>
      <c r="B6" s="1034"/>
      <c r="C6" s="1034"/>
      <c r="D6" s="1034"/>
      <c r="E6" s="1034"/>
      <c r="F6" s="1034"/>
    </row>
    <row r="7" spans="1:6" ht="19.5" customHeight="1" thickBot="1">
      <c r="A7" s="1036" t="s">
        <v>219</v>
      </c>
      <c r="B7" s="1037" t="s">
        <v>1021</v>
      </c>
      <c r="C7" s="1037" t="s">
        <v>220</v>
      </c>
      <c r="D7" s="1037" t="s">
        <v>221</v>
      </c>
      <c r="E7" s="1037" t="s">
        <v>1038</v>
      </c>
      <c r="F7" s="1037" t="s">
        <v>222</v>
      </c>
    </row>
    <row r="8" spans="1:6" ht="19.5" customHeight="1" thickBot="1">
      <c r="A8" s="1036" t="s">
        <v>350</v>
      </c>
      <c r="B8" s="1038">
        <v>248</v>
      </c>
      <c r="C8" s="1035">
        <v>1000000</v>
      </c>
      <c r="D8" s="1035">
        <v>1106610</v>
      </c>
      <c r="E8" s="1039">
        <v>2106610</v>
      </c>
      <c r="F8" s="1035">
        <v>175551</v>
      </c>
    </row>
    <row r="9" spans="1:6" ht="19.5" customHeight="1" thickBot="1">
      <c r="A9" s="1036" t="s">
        <v>351</v>
      </c>
      <c r="B9" s="1038">
        <v>318</v>
      </c>
      <c r="C9" s="1035">
        <v>1000000</v>
      </c>
      <c r="D9" s="1035">
        <v>1418960</v>
      </c>
      <c r="E9" s="1040">
        <v>2418960</v>
      </c>
      <c r="F9" s="1035">
        <v>201580</v>
      </c>
    </row>
    <row r="10" spans="1:6" ht="19.5" customHeight="1" thickBot="1">
      <c r="A10" s="1036" t="s">
        <v>352</v>
      </c>
      <c r="B10" s="1038">
        <v>94</v>
      </c>
      <c r="C10" s="1035">
        <v>1000000</v>
      </c>
      <c r="D10" s="1035">
        <v>419441</v>
      </c>
      <c r="E10" s="1040">
        <v>1419441</v>
      </c>
      <c r="F10" s="1035">
        <v>118287</v>
      </c>
    </row>
    <row r="11" spans="1:6" ht="19.5" customHeight="1" thickBot="1">
      <c r="A11" s="1036" t="s">
        <v>353</v>
      </c>
      <c r="B11" s="1038">
        <v>104</v>
      </c>
      <c r="C11" s="1035">
        <v>1000000</v>
      </c>
      <c r="D11" s="1035">
        <v>464062</v>
      </c>
      <c r="E11" s="1040">
        <v>1464062</v>
      </c>
      <c r="F11" s="1035">
        <v>122005</v>
      </c>
    </row>
    <row r="12" spans="1:6" ht="19.5" customHeight="1" thickBot="1">
      <c r="A12" s="1036" t="s">
        <v>830</v>
      </c>
      <c r="B12" s="1038">
        <v>190</v>
      </c>
      <c r="C12" s="1035">
        <v>1000000</v>
      </c>
      <c r="D12" s="1035">
        <v>847806</v>
      </c>
      <c r="E12" s="1040">
        <v>1847806</v>
      </c>
      <c r="F12" s="1035">
        <v>153984</v>
      </c>
    </row>
    <row r="13" spans="1:6" ht="19.5" customHeight="1" thickBot="1">
      <c r="A13" s="1036" t="s">
        <v>831</v>
      </c>
      <c r="B13" s="1038">
        <v>429</v>
      </c>
      <c r="C13" s="1035">
        <v>1000000</v>
      </c>
      <c r="D13" s="1035">
        <v>1914257</v>
      </c>
      <c r="E13" s="1040">
        <v>2914257</v>
      </c>
      <c r="F13" s="1035">
        <v>242855</v>
      </c>
    </row>
    <row r="14" spans="1:6" ht="19.5" customHeight="1" thickBot="1">
      <c r="A14" s="1036" t="s">
        <v>829</v>
      </c>
      <c r="B14" s="1038">
        <v>171</v>
      </c>
      <c r="C14" s="1035">
        <v>1000000</v>
      </c>
      <c r="D14" s="1035">
        <v>763025</v>
      </c>
      <c r="E14" s="1039">
        <v>1763025</v>
      </c>
      <c r="F14" s="1035">
        <v>146919</v>
      </c>
    </row>
    <row r="15" spans="1:6" ht="19.5" customHeight="1" thickBot="1">
      <c r="A15" s="1036" t="s">
        <v>1038</v>
      </c>
      <c r="B15" s="1038">
        <v>1554</v>
      </c>
      <c r="C15" s="1035">
        <v>7000000</v>
      </c>
      <c r="D15" s="1035">
        <v>6934161</v>
      </c>
      <c r="E15" s="1039">
        <v>13934161</v>
      </c>
      <c r="F15" s="1039">
        <v>1161180</v>
      </c>
    </row>
    <row r="16" spans="1:6" ht="19.5" customHeight="1" thickBot="1">
      <c r="A16" s="1033" t="s">
        <v>223</v>
      </c>
      <c r="B16" s="1034"/>
      <c r="C16" s="1035">
        <v>6934161</v>
      </c>
      <c r="D16" s="1034"/>
      <c r="E16" s="1034"/>
      <c r="F16" s="1034"/>
    </row>
    <row r="17" spans="1:6" ht="19.5" customHeight="1" thickBot="1">
      <c r="A17" s="1033"/>
      <c r="B17" s="1034"/>
      <c r="C17" s="1034"/>
      <c r="D17" s="1034"/>
      <c r="E17" s="1034"/>
      <c r="F17" s="1034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8515625" style="0" customWidth="1"/>
  </cols>
  <sheetData>
    <row r="1" spans="1:2" ht="12.75">
      <c r="A1" s="1125" t="s">
        <v>407</v>
      </c>
      <c r="B1" s="1125"/>
    </row>
    <row r="2" spans="1:2" ht="13.5" thickBot="1">
      <c r="A2" s="688"/>
      <c r="B2" s="688"/>
    </row>
    <row r="3" spans="1:2" ht="13.5" thickBot="1">
      <c r="A3" s="689" t="s">
        <v>408</v>
      </c>
      <c r="B3" s="690" t="s">
        <v>933</v>
      </c>
    </row>
    <row r="4" spans="1:2" ht="12.75">
      <c r="A4" s="1079" t="s">
        <v>482</v>
      </c>
      <c r="B4" s="514">
        <v>1450</v>
      </c>
    </row>
    <row r="5" spans="1:2" ht="12.75">
      <c r="A5" s="1079" t="s">
        <v>482</v>
      </c>
      <c r="B5" s="514">
        <v>270</v>
      </c>
    </row>
    <row r="6" spans="1:6" ht="12.75">
      <c r="A6" s="14" t="s">
        <v>483</v>
      </c>
      <c r="B6" s="7">
        <v>59537</v>
      </c>
      <c r="F6" s="209"/>
    </row>
    <row r="7" spans="1:6" ht="12.75">
      <c r="A7" s="14" t="s">
        <v>495</v>
      </c>
      <c r="B7" s="7">
        <v>7505</v>
      </c>
      <c r="F7" s="209"/>
    </row>
    <row r="8" spans="1:6" ht="12.75">
      <c r="A8" s="14"/>
      <c r="B8" s="7"/>
      <c r="F8" s="209"/>
    </row>
    <row r="9" spans="1:6" ht="12.75">
      <c r="A9" s="6" t="s">
        <v>347</v>
      </c>
      <c r="B9" s="7">
        <v>0</v>
      </c>
      <c r="F9" s="209"/>
    </row>
    <row r="10" spans="1:6" ht="12.75">
      <c r="A10" s="6"/>
      <c r="B10" s="7"/>
      <c r="F10" s="209"/>
    </row>
    <row r="11" spans="1:6" ht="12.75">
      <c r="A11" s="6"/>
      <c r="B11" s="7"/>
      <c r="F11" s="209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3.5" thickBot="1">
      <c r="A19" s="169"/>
      <c r="B19" s="347"/>
    </row>
    <row r="20" spans="1:2" ht="13.5" thickBot="1">
      <c r="A20" s="589" t="s">
        <v>1038</v>
      </c>
      <c r="B20" s="691">
        <f>SUM(B4:B19)</f>
        <v>68762</v>
      </c>
    </row>
    <row r="22" spans="1:2" ht="12.75">
      <c r="A22" t="s">
        <v>246</v>
      </c>
      <c r="B22" s="10"/>
    </row>
    <row r="24" spans="1:3" ht="12.75">
      <c r="A24" s="6" t="s">
        <v>247</v>
      </c>
      <c r="B24" s="6"/>
      <c r="C24">
        <v>496</v>
      </c>
    </row>
    <row r="25" spans="1:3" ht="12.75">
      <c r="A25" s="6" t="s">
        <v>248</v>
      </c>
      <c r="B25" s="6"/>
      <c r="C25">
        <v>28224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V31"/>
  <sheetViews>
    <sheetView view="pageBreakPreview" zoomScaleSheetLayoutView="100" zoomScalePageLayoutView="0" workbookViewId="0" topLeftCell="A1">
      <pane xSplit="1" topLeftCell="I1" activePane="topRight" state="frozen"/>
      <selection pane="topLeft" activeCell="A1" sqref="A1"/>
      <selection pane="topRight" activeCell="A2" sqref="A2:U2"/>
    </sheetView>
  </sheetViews>
  <sheetFormatPr defaultColWidth="9.140625" defaultRowHeight="12.75"/>
  <cols>
    <col min="1" max="1" width="29.140625" style="0" customWidth="1"/>
    <col min="2" max="2" width="13.8515625" style="0" customWidth="1"/>
    <col min="3" max="3" width="13.00390625" style="0" customWidth="1"/>
    <col min="4" max="4" width="12.8515625" style="0" customWidth="1"/>
    <col min="5" max="5" width="12.421875" style="0" customWidth="1"/>
    <col min="6" max="6" width="12.57421875" style="0" customWidth="1"/>
    <col min="7" max="7" width="14.57421875" style="0" customWidth="1"/>
    <col min="8" max="8" width="14.28125" style="0" customWidth="1"/>
    <col min="9" max="9" width="13.57421875" style="0" customWidth="1"/>
    <col min="10" max="10" width="13.28125" style="0" customWidth="1"/>
    <col min="11" max="11" width="13.7109375" style="0" customWidth="1"/>
    <col min="12" max="12" width="13.00390625" style="0" customWidth="1"/>
    <col min="13" max="13" width="10.7109375" style="0" customWidth="1"/>
    <col min="14" max="14" width="12.140625" style="0" customWidth="1"/>
    <col min="15" max="15" width="12.28125" style="0" customWidth="1"/>
    <col min="16" max="16" width="9.421875" style="0" customWidth="1"/>
    <col min="17" max="17" width="13.00390625" style="0" customWidth="1"/>
    <col min="18" max="18" width="13.8515625" style="0" customWidth="1"/>
    <col min="19" max="19" width="13.140625" style="0" customWidth="1"/>
    <col min="20" max="20" width="9.8515625" style="0" customWidth="1"/>
    <col min="21" max="21" width="8.57421875" style="0" customWidth="1"/>
  </cols>
  <sheetData>
    <row r="1" spans="18:21" ht="12.75">
      <c r="R1" s="1171" t="s">
        <v>1547</v>
      </c>
      <c r="S1" s="1162"/>
      <c r="T1" s="1162"/>
      <c r="U1" s="1162"/>
    </row>
    <row r="2" spans="1:21" ht="12.75">
      <c r="A2" s="1133" t="s">
        <v>1518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</row>
    <row r="3" spans="1:21" ht="38.25" customHeight="1">
      <c r="A3" s="1132" t="s">
        <v>530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2"/>
      <c r="Q3" s="1132"/>
      <c r="R3" s="1132"/>
      <c r="S3" s="1132"/>
      <c r="T3" s="1132"/>
      <c r="U3" s="1132"/>
    </row>
    <row r="4" spans="18:21" ht="12.75">
      <c r="R4" s="1122" t="s">
        <v>161</v>
      </c>
      <c r="S4" s="1122"/>
      <c r="T4" s="1122"/>
      <c r="U4" s="1122"/>
    </row>
    <row r="5" spans="1:21" ht="12.75">
      <c r="A5" s="1168" t="s">
        <v>1032</v>
      </c>
      <c r="B5" s="1168" t="s">
        <v>1034</v>
      </c>
      <c r="C5" s="1168"/>
      <c r="D5" s="1168" t="s">
        <v>1022</v>
      </c>
      <c r="E5" s="1168"/>
      <c r="F5" s="1168" t="s">
        <v>1033</v>
      </c>
      <c r="G5" s="1168"/>
      <c r="H5" s="1168" t="s">
        <v>1024</v>
      </c>
      <c r="I5" s="1168"/>
      <c r="J5" s="1180" t="s">
        <v>1293</v>
      </c>
      <c r="K5" s="1181"/>
      <c r="L5" s="1181"/>
      <c r="M5" s="753"/>
      <c r="N5" s="1126" t="s">
        <v>535</v>
      </c>
      <c r="O5" s="1126"/>
      <c r="P5" s="1168" t="s">
        <v>1030</v>
      </c>
      <c r="Q5" s="1168"/>
      <c r="R5" s="1172" t="s">
        <v>1035</v>
      </c>
      <c r="S5" s="1173"/>
      <c r="T5" s="1176" t="s">
        <v>1021</v>
      </c>
      <c r="U5" s="1177"/>
    </row>
    <row r="6" spans="1:21" ht="39" customHeight="1">
      <c r="A6" s="1168"/>
      <c r="B6" s="1168"/>
      <c r="C6" s="1168"/>
      <c r="D6" s="1168"/>
      <c r="E6" s="1168"/>
      <c r="F6" s="1168"/>
      <c r="G6" s="1168"/>
      <c r="H6" s="1168"/>
      <c r="I6" s="1168"/>
      <c r="J6" s="1127" t="s">
        <v>262</v>
      </c>
      <c r="K6" s="1127"/>
      <c r="L6" s="1126" t="s">
        <v>277</v>
      </c>
      <c r="M6" s="1167"/>
      <c r="N6" s="1126"/>
      <c r="O6" s="1126"/>
      <c r="P6" s="1168"/>
      <c r="Q6" s="1168"/>
      <c r="R6" s="1174"/>
      <c r="S6" s="1175"/>
      <c r="T6" s="1178"/>
      <c r="U6" s="1179"/>
    </row>
    <row r="7" spans="1:21" ht="24" customHeight="1">
      <c r="A7" s="1168"/>
      <c r="B7" s="147" t="s">
        <v>1023</v>
      </c>
      <c r="C7" s="147" t="s">
        <v>1114</v>
      </c>
      <c r="D7" s="147" t="s">
        <v>1023</v>
      </c>
      <c r="E7" s="147" t="s">
        <v>1114</v>
      </c>
      <c r="F7" s="147" t="s">
        <v>1023</v>
      </c>
      <c r="G7" s="147" t="s">
        <v>1114</v>
      </c>
      <c r="H7" s="147" t="s">
        <v>1023</v>
      </c>
      <c r="I7" s="147" t="s">
        <v>1114</v>
      </c>
      <c r="J7" s="147" t="s">
        <v>1023</v>
      </c>
      <c r="K7" s="147" t="s">
        <v>1114</v>
      </c>
      <c r="L7" s="147" t="s">
        <v>1023</v>
      </c>
      <c r="M7" s="147" t="s">
        <v>1114</v>
      </c>
      <c r="N7" s="147" t="s">
        <v>1023</v>
      </c>
      <c r="O7" s="147" t="s">
        <v>1114</v>
      </c>
      <c r="P7" s="147" t="s">
        <v>1023</v>
      </c>
      <c r="Q7" s="147" t="s">
        <v>1114</v>
      </c>
      <c r="R7" s="147" t="s">
        <v>1023</v>
      </c>
      <c r="S7" s="147" t="s">
        <v>1114</v>
      </c>
      <c r="T7" s="147" t="s">
        <v>1507</v>
      </c>
      <c r="U7" s="191" t="s">
        <v>264</v>
      </c>
    </row>
    <row r="8" spans="1:21" s="89" customFormat="1" ht="12.75" customHeight="1">
      <c r="A8" s="770" t="s">
        <v>1087</v>
      </c>
      <c r="B8" s="771">
        <v>50864</v>
      </c>
      <c r="C8" s="771">
        <v>50864</v>
      </c>
      <c r="D8" s="771">
        <v>13672</v>
      </c>
      <c r="E8" s="771">
        <v>13672</v>
      </c>
      <c r="F8" s="771">
        <f>18744+18000</f>
        <v>36744</v>
      </c>
      <c r="G8" s="771">
        <f>18744+18000</f>
        <v>36744</v>
      </c>
      <c r="H8" s="771"/>
      <c r="I8" s="771"/>
      <c r="J8" s="771"/>
      <c r="K8" s="771"/>
      <c r="L8" s="771"/>
      <c r="M8" s="771"/>
      <c r="N8" s="771"/>
      <c r="O8" s="771"/>
      <c r="P8" s="771"/>
      <c r="Q8" s="771"/>
      <c r="R8" s="771">
        <f>+B8+D8+F8+H8+J8+L8+N8+P8</f>
        <v>101280</v>
      </c>
      <c r="S8" s="771">
        <f>+C8+E8+G8+I8+K8+M8+O8+Q8</f>
        <v>101280</v>
      </c>
      <c r="T8" s="1102">
        <v>26</v>
      </c>
      <c r="U8" s="1102">
        <v>26</v>
      </c>
    </row>
    <row r="9" spans="1:21" s="10" customFormat="1" ht="12.75">
      <c r="A9" s="193" t="s">
        <v>278</v>
      </c>
      <c r="B9" s="58">
        <f aca="true" t="shared" si="0" ref="B9:G9">+B10+B12+B11</f>
        <v>20128</v>
      </c>
      <c r="C9" s="58">
        <f t="shared" si="0"/>
        <v>20128</v>
      </c>
      <c r="D9" s="58">
        <f t="shared" si="0"/>
        <v>5180</v>
      </c>
      <c r="E9" s="58">
        <f t="shared" si="0"/>
        <v>5180</v>
      </c>
      <c r="F9" s="58">
        <f t="shared" si="0"/>
        <v>11834</v>
      </c>
      <c r="G9" s="58">
        <f t="shared" si="0"/>
        <v>11834</v>
      </c>
      <c r="H9" s="58"/>
      <c r="I9" s="58"/>
      <c r="J9" s="58"/>
      <c r="K9" s="58"/>
      <c r="L9" s="58"/>
      <c r="M9" s="58"/>
      <c r="N9" s="58">
        <f>+N10+N12</f>
        <v>0</v>
      </c>
      <c r="O9" s="58">
        <f>+O10+O12</f>
        <v>0</v>
      </c>
      <c r="P9" s="58">
        <f>+P10+P12</f>
        <v>0</v>
      </c>
      <c r="Q9" s="58">
        <f>+Q10+Q12</f>
        <v>0</v>
      </c>
      <c r="R9" s="771">
        <f>+B9+D9+F9+H9+J9+L9+N9+P9</f>
        <v>37142</v>
      </c>
      <c r="S9" s="771">
        <f>+C9+E9+G9+I9+K9+M9+O9+Q9</f>
        <v>37142</v>
      </c>
      <c r="T9" s="88">
        <f>T10+T11+T12</f>
        <v>7.75</v>
      </c>
      <c r="U9" s="88">
        <f>U10+U11+U12</f>
        <v>7.75</v>
      </c>
    </row>
    <row r="10" spans="1:21" s="41" customFormat="1" ht="12.75">
      <c r="A10" s="195" t="s">
        <v>1128</v>
      </c>
      <c r="B10" s="196">
        <f>9830+6544</f>
        <v>16374</v>
      </c>
      <c r="C10" s="196">
        <f>9830+6544</f>
        <v>16374</v>
      </c>
      <c r="D10" s="312">
        <f>2618+1672</f>
        <v>4290</v>
      </c>
      <c r="E10" s="312">
        <f>2618+1672</f>
        <v>4290</v>
      </c>
      <c r="F10" s="196">
        <f>5535+3681-566</f>
        <v>8650</v>
      </c>
      <c r="G10" s="196">
        <f>5535+3681-566</f>
        <v>8650</v>
      </c>
      <c r="H10" s="196"/>
      <c r="I10" s="196"/>
      <c r="J10" s="196"/>
      <c r="K10" s="196"/>
      <c r="L10" s="196"/>
      <c r="M10" s="196"/>
      <c r="N10" s="197"/>
      <c r="O10" s="197"/>
      <c r="P10" s="197"/>
      <c r="Q10" s="197"/>
      <c r="R10" s="771">
        <f aca="true" t="shared" si="1" ref="R10:S18">+B10+D10+F10+H10+J10+L10+N10+P10</f>
        <v>29314</v>
      </c>
      <c r="S10" s="771">
        <f t="shared" si="1"/>
        <v>29314</v>
      </c>
      <c r="T10" s="192">
        <v>4.75</v>
      </c>
      <c r="U10" s="192">
        <v>4.75</v>
      </c>
    </row>
    <row r="11" spans="1:21" s="41" customFormat="1" ht="12.75">
      <c r="A11" s="815" t="s">
        <v>471</v>
      </c>
      <c r="B11" s="813">
        <v>1700</v>
      </c>
      <c r="C11" s="813">
        <v>1700</v>
      </c>
      <c r="D11" s="814">
        <v>424</v>
      </c>
      <c r="E11" s="814">
        <v>424</v>
      </c>
      <c r="F11" s="813">
        <v>576</v>
      </c>
      <c r="G11" s="813">
        <v>576</v>
      </c>
      <c r="H11" s="813"/>
      <c r="I11" s="813"/>
      <c r="J11" s="813"/>
      <c r="K11" s="813"/>
      <c r="L11" s="813"/>
      <c r="M11" s="813"/>
      <c r="N11" s="201"/>
      <c r="O11" s="201"/>
      <c r="P11" s="201"/>
      <c r="Q11" s="201"/>
      <c r="R11" s="771">
        <f t="shared" si="1"/>
        <v>2700</v>
      </c>
      <c r="S11" s="771">
        <f t="shared" si="1"/>
        <v>2700</v>
      </c>
      <c r="T11" s="192">
        <v>1</v>
      </c>
      <c r="U11" s="192">
        <v>1</v>
      </c>
    </row>
    <row r="12" spans="1:21" s="41" customFormat="1" ht="12.75">
      <c r="A12" s="198" t="s">
        <v>1129</v>
      </c>
      <c r="B12" s="199">
        <v>2054</v>
      </c>
      <c r="C12" s="199">
        <v>2054</v>
      </c>
      <c r="D12" s="199">
        <v>466</v>
      </c>
      <c r="E12" s="199">
        <v>466</v>
      </c>
      <c r="F12" s="199">
        <f>2755-147</f>
        <v>2608</v>
      </c>
      <c r="G12" s="199">
        <f>2755-147</f>
        <v>2608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771">
        <f t="shared" si="1"/>
        <v>5128</v>
      </c>
      <c r="S12" s="771">
        <f t="shared" si="1"/>
        <v>5128</v>
      </c>
      <c r="T12" s="192">
        <v>2</v>
      </c>
      <c r="U12" s="192">
        <v>2</v>
      </c>
    </row>
    <row r="13" spans="1:21" s="10" customFormat="1" ht="12.75">
      <c r="A13" s="200" t="s">
        <v>1117</v>
      </c>
      <c r="B13" s="194">
        <f aca="true" t="shared" si="2" ref="B13:Q13">+B14+B15</f>
        <v>35525</v>
      </c>
      <c r="C13" s="194">
        <f t="shared" si="2"/>
        <v>35525</v>
      </c>
      <c r="D13" s="194">
        <f t="shared" si="2"/>
        <v>9545</v>
      </c>
      <c r="E13" s="194">
        <f t="shared" si="2"/>
        <v>9545</v>
      </c>
      <c r="F13" s="194">
        <f t="shared" si="2"/>
        <v>32486</v>
      </c>
      <c r="G13" s="194">
        <f t="shared" si="2"/>
        <v>32486</v>
      </c>
      <c r="H13" s="194">
        <f t="shared" si="2"/>
        <v>0</v>
      </c>
      <c r="I13" s="194">
        <f t="shared" si="2"/>
        <v>0</v>
      </c>
      <c r="J13" s="194">
        <f t="shared" si="2"/>
        <v>0</v>
      </c>
      <c r="K13" s="194">
        <f t="shared" si="2"/>
        <v>0</v>
      </c>
      <c r="L13" s="194">
        <f t="shared" si="2"/>
        <v>0</v>
      </c>
      <c r="M13" s="194">
        <f t="shared" si="2"/>
        <v>0</v>
      </c>
      <c r="N13" s="194">
        <f t="shared" si="2"/>
        <v>0</v>
      </c>
      <c r="O13" s="194">
        <f t="shared" si="2"/>
        <v>0</v>
      </c>
      <c r="P13" s="194">
        <f t="shared" si="2"/>
        <v>0</v>
      </c>
      <c r="Q13" s="194">
        <f t="shared" si="2"/>
        <v>0</v>
      </c>
      <c r="R13" s="771">
        <f t="shared" si="1"/>
        <v>77556</v>
      </c>
      <c r="S13" s="771">
        <f t="shared" si="1"/>
        <v>77556</v>
      </c>
      <c r="T13" s="88">
        <f>T14+T15</f>
        <v>24</v>
      </c>
      <c r="U13" s="88">
        <f>U14+U15</f>
        <v>24</v>
      </c>
    </row>
    <row r="14" spans="1:21" s="41" customFormat="1" ht="12.75">
      <c r="A14" s="195" t="s">
        <v>1130</v>
      </c>
      <c r="B14" s="197">
        <v>5896</v>
      </c>
      <c r="C14" s="197">
        <v>5896</v>
      </c>
      <c r="D14" s="197">
        <v>1590</v>
      </c>
      <c r="E14" s="197">
        <v>1590</v>
      </c>
      <c r="F14" s="197">
        <v>3711</v>
      </c>
      <c r="G14" s="197">
        <v>3711</v>
      </c>
      <c r="H14" s="197"/>
      <c r="I14" s="197"/>
      <c r="J14" s="197"/>
      <c r="K14" s="197"/>
      <c r="L14" s="197">
        <v>0</v>
      </c>
      <c r="M14" s="197"/>
      <c r="N14" s="197"/>
      <c r="O14" s="197"/>
      <c r="P14" s="197"/>
      <c r="Q14" s="197"/>
      <c r="R14" s="771">
        <f t="shared" si="1"/>
        <v>11197</v>
      </c>
      <c r="S14" s="771">
        <f t="shared" si="1"/>
        <v>11197</v>
      </c>
      <c r="T14" s="192">
        <v>4</v>
      </c>
      <c r="U14" s="192">
        <v>4</v>
      </c>
    </row>
    <row r="15" spans="1:21" s="41" customFormat="1" ht="12.75">
      <c r="A15" s="198" t="s">
        <v>1131</v>
      </c>
      <c r="B15" s="199">
        <v>29629</v>
      </c>
      <c r="C15" s="199">
        <v>29629</v>
      </c>
      <c r="D15" s="199">
        <v>7955</v>
      </c>
      <c r="E15" s="199">
        <v>7955</v>
      </c>
      <c r="F15" s="199">
        <v>28775</v>
      </c>
      <c r="G15" s="199">
        <v>28775</v>
      </c>
      <c r="H15" s="199"/>
      <c r="I15" s="199"/>
      <c r="J15" s="199"/>
      <c r="K15" s="199"/>
      <c r="L15" s="199">
        <v>0</v>
      </c>
      <c r="M15" s="199"/>
      <c r="N15" s="199"/>
      <c r="O15" s="199"/>
      <c r="P15" s="199"/>
      <c r="Q15" s="199"/>
      <c r="R15" s="771">
        <f t="shared" si="1"/>
        <v>66359</v>
      </c>
      <c r="S15" s="771">
        <f t="shared" si="1"/>
        <v>66359</v>
      </c>
      <c r="T15" s="192">
        <v>20</v>
      </c>
      <c r="U15" s="192">
        <v>20</v>
      </c>
    </row>
    <row r="16" spans="1:21" s="10" customFormat="1" ht="30" customHeight="1">
      <c r="A16" s="202" t="s">
        <v>1157</v>
      </c>
      <c r="B16" s="203">
        <f aca="true" t="shared" si="3" ref="B16:G16">B8+B9+B13</f>
        <v>106517</v>
      </c>
      <c r="C16" s="203">
        <f t="shared" si="3"/>
        <v>106517</v>
      </c>
      <c r="D16" s="203">
        <f t="shared" si="3"/>
        <v>28397</v>
      </c>
      <c r="E16" s="203">
        <f t="shared" si="3"/>
        <v>28397</v>
      </c>
      <c r="F16" s="203">
        <f t="shared" si="3"/>
        <v>81064</v>
      </c>
      <c r="G16" s="203">
        <f t="shared" si="3"/>
        <v>81064</v>
      </c>
      <c r="H16" s="203">
        <f aca="true" t="shared" si="4" ref="H16:Q16">H8+H9+H13</f>
        <v>0</v>
      </c>
      <c r="I16" s="203">
        <f t="shared" si="4"/>
        <v>0</v>
      </c>
      <c r="J16" s="203">
        <f t="shared" si="4"/>
        <v>0</v>
      </c>
      <c r="K16" s="203">
        <f t="shared" si="4"/>
        <v>0</v>
      </c>
      <c r="L16" s="203">
        <f t="shared" si="4"/>
        <v>0</v>
      </c>
      <c r="M16" s="203">
        <f t="shared" si="4"/>
        <v>0</v>
      </c>
      <c r="N16" s="203">
        <f>N8+N9+N13</f>
        <v>0</v>
      </c>
      <c r="O16" s="203">
        <f>O8+O9+O13</f>
        <v>0</v>
      </c>
      <c r="P16" s="203">
        <f t="shared" si="4"/>
        <v>0</v>
      </c>
      <c r="Q16" s="203">
        <f t="shared" si="4"/>
        <v>0</v>
      </c>
      <c r="R16" s="771">
        <f t="shared" si="1"/>
        <v>215978</v>
      </c>
      <c r="S16" s="771">
        <f t="shared" si="1"/>
        <v>215978</v>
      </c>
      <c r="T16" s="204">
        <f>T8+T9+T13</f>
        <v>57.75</v>
      </c>
      <c r="U16" s="204">
        <f>U8+U9+U13</f>
        <v>57.75</v>
      </c>
    </row>
    <row r="17" spans="1:21" s="10" customFormat="1" ht="30" customHeight="1">
      <c r="A17" s="694" t="s">
        <v>1148</v>
      </c>
      <c r="B17" s="179">
        <f>2am!B14</f>
        <v>97465</v>
      </c>
      <c r="C17" s="179">
        <f>2am!C14</f>
        <v>97465</v>
      </c>
      <c r="D17" s="179">
        <f>2am!D14</f>
        <v>24629.13</v>
      </c>
      <c r="E17" s="179">
        <f>2am!E14</f>
        <v>24629.13</v>
      </c>
      <c r="F17" s="184">
        <f>2am!F14</f>
        <v>31165.11</v>
      </c>
      <c r="G17" s="184">
        <f>2am!G14</f>
        <v>31165.11</v>
      </c>
      <c r="H17" s="47">
        <f>2am!H14</f>
        <v>0</v>
      </c>
      <c r="I17" s="47">
        <f>2am!I14</f>
        <v>0</v>
      </c>
      <c r="J17" s="47">
        <f>2am!J14</f>
        <v>0</v>
      </c>
      <c r="K17" s="47">
        <f>2am!K14</f>
        <v>0</v>
      </c>
      <c r="L17" s="47">
        <f>2am!L14</f>
        <v>0</v>
      </c>
      <c r="M17" s="47">
        <f>2am!M14</f>
        <v>0</v>
      </c>
      <c r="N17" s="47">
        <f>2am!N14</f>
        <v>0</v>
      </c>
      <c r="O17" s="47">
        <f>2am!O14</f>
        <v>0</v>
      </c>
      <c r="P17" s="47">
        <f>2am!P14</f>
        <v>0</v>
      </c>
      <c r="Q17" s="47">
        <f>2am!Q14</f>
        <v>0</v>
      </c>
      <c r="R17" s="771">
        <f t="shared" si="1"/>
        <v>153259.24</v>
      </c>
      <c r="S17" s="771">
        <f t="shared" si="1"/>
        <v>153259.24</v>
      </c>
      <c r="T17" s="204">
        <f>2am!T14</f>
        <v>42</v>
      </c>
      <c r="U17" s="204">
        <f>2am!U14</f>
        <v>42</v>
      </c>
    </row>
    <row r="18" spans="1:21" s="10" customFormat="1" ht="33" customHeight="1">
      <c r="A18" s="694" t="s">
        <v>401</v>
      </c>
      <c r="B18" s="203">
        <f>2am!B37</f>
        <v>153518</v>
      </c>
      <c r="C18" s="203">
        <f>2am!C37</f>
        <v>158124</v>
      </c>
      <c r="D18" s="203">
        <f>2am!D37</f>
        <v>25849.96</v>
      </c>
      <c r="E18" s="203">
        <f>2am!E37</f>
        <v>27081.96</v>
      </c>
      <c r="F18" s="203">
        <f>2am!F37</f>
        <v>164500.352</v>
      </c>
      <c r="G18" s="203">
        <f>2am!G37</f>
        <v>179148.352</v>
      </c>
      <c r="H18" s="203">
        <f>2am!H37</f>
        <v>122342</v>
      </c>
      <c r="I18" s="203">
        <f>2am!I37</f>
        <v>122342</v>
      </c>
      <c r="J18" s="203">
        <f>2am!J37</f>
        <v>12342</v>
      </c>
      <c r="K18" s="203">
        <f>2am!K37</f>
        <v>8402</v>
      </c>
      <c r="L18" s="203">
        <f>2am!L37</f>
        <v>89611</v>
      </c>
      <c r="M18" s="203">
        <f>2am!M37</f>
        <v>82939</v>
      </c>
      <c r="N18" s="203">
        <f>2am!N37</f>
        <v>213346.15594000003</v>
      </c>
      <c r="O18" s="203">
        <f>2am!O37</f>
        <v>213346.15594000003</v>
      </c>
      <c r="P18" s="203">
        <f>2am!P37</f>
        <v>0</v>
      </c>
      <c r="Q18" s="203">
        <f>2am!Q37</f>
        <v>0</v>
      </c>
      <c r="R18" s="771">
        <f t="shared" si="1"/>
        <v>781509.4679400001</v>
      </c>
      <c r="S18" s="771">
        <f t="shared" si="1"/>
        <v>791383.4679400001</v>
      </c>
      <c r="T18" s="204">
        <f>2am!T37</f>
        <v>144</v>
      </c>
      <c r="U18" s="204">
        <f>2am!U37</f>
        <v>150</v>
      </c>
    </row>
    <row r="19" spans="1:21" ht="51" customHeight="1">
      <c r="A19" s="877" t="s">
        <v>1156</v>
      </c>
      <c r="B19" s="173">
        <f>+2am!B39</f>
        <v>250983</v>
      </c>
      <c r="C19" s="173">
        <f>+2am!C39</f>
        <v>255589</v>
      </c>
      <c r="D19" s="173">
        <f>+2am!D39</f>
        <v>50479.09</v>
      </c>
      <c r="E19" s="173">
        <f>+2am!E39</f>
        <v>51711.09</v>
      </c>
      <c r="F19" s="173">
        <f>+2am!F39</f>
        <v>195665.462</v>
      </c>
      <c r="G19" s="173">
        <f>+2am!G39</f>
        <v>210313.462</v>
      </c>
      <c r="H19" s="173">
        <f>+2am!H39</f>
        <v>122342</v>
      </c>
      <c r="I19" s="173">
        <f>+2am!I39</f>
        <v>122342</v>
      </c>
      <c r="J19" s="173">
        <f>J17+J18</f>
        <v>12342</v>
      </c>
      <c r="K19" s="173">
        <f>K17+K18</f>
        <v>8402</v>
      </c>
      <c r="L19" s="173">
        <f>L17+L18</f>
        <v>89611</v>
      </c>
      <c r="M19" s="173">
        <f>M17+M18</f>
        <v>82939</v>
      </c>
      <c r="N19" s="173">
        <f>+2am!N39</f>
        <v>213346.15594000003</v>
      </c>
      <c r="O19" s="173">
        <f>+2am!O39</f>
        <v>213346.15594000003</v>
      </c>
      <c r="P19" s="173">
        <f>+2am!P39</f>
        <v>0</v>
      </c>
      <c r="Q19" s="173">
        <f>+2am!Q39</f>
        <v>0</v>
      </c>
      <c r="R19" s="173">
        <f>+2am!R39</f>
        <v>934767.7079400001</v>
      </c>
      <c r="S19" s="173">
        <f>+2am!S39</f>
        <v>944641.7079400001</v>
      </c>
      <c r="T19" s="192">
        <f>2am!T39</f>
        <v>186</v>
      </c>
      <c r="U19" s="192">
        <f>2am!U39</f>
        <v>192</v>
      </c>
    </row>
    <row r="20" spans="1:21" s="208" customFormat="1" ht="26.25" customHeight="1">
      <c r="A20" s="205" t="s">
        <v>1133</v>
      </c>
      <c r="B20" s="206">
        <f aca="true" t="shared" si="5" ref="B20:G20">+B19+B16</f>
        <v>357500</v>
      </c>
      <c r="C20" s="206">
        <f t="shared" si="5"/>
        <v>362106</v>
      </c>
      <c r="D20" s="206">
        <f t="shared" si="5"/>
        <v>78876.09</v>
      </c>
      <c r="E20" s="206">
        <f t="shared" si="5"/>
        <v>80108.09</v>
      </c>
      <c r="F20" s="206">
        <f t="shared" si="5"/>
        <v>276729.462</v>
      </c>
      <c r="G20" s="206">
        <f t="shared" si="5"/>
        <v>291377.462</v>
      </c>
      <c r="H20" s="206">
        <f aca="true" t="shared" si="6" ref="H20:U20">+H19+H16</f>
        <v>122342</v>
      </c>
      <c r="I20" s="206">
        <f t="shared" si="6"/>
        <v>122342</v>
      </c>
      <c r="J20" s="206">
        <f>+J19+J16</f>
        <v>12342</v>
      </c>
      <c r="K20" s="206">
        <f>+K19+K16</f>
        <v>8402</v>
      </c>
      <c r="L20" s="206">
        <f>+L19+L16</f>
        <v>89611</v>
      </c>
      <c r="M20" s="206">
        <f>+M19+M16</f>
        <v>82939</v>
      </c>
      <c r="N20" s="206">
        <f t="shared" si="6"/>
        <v>213346.15594000003</v>
      </c>
      <c r="O20" s="206">
        <f t="shared" si="6"/>
        <v>213346.15594000003</v>
      </c>
      <c r="P20" s="206">
        <f t="shared" si="6"/>
        <v>0</v>
      </c>
      <c r="Q20" s="206">
        <f t="shared" si="6"/>
        <v>0</v>
      </c>
      <c r="R20" s="206">
        <f>+R19+R16</f>
        <v>1150745.70794</v>
      </c>
      <c r="S20" s="206">
        <f>+S19+S16</f>
        <v>1160619.70794</v>
      </c>
      <c r="T20" s="207">
        <f t="shared" si="6"/>
        <v>243.75</v>
      </c>
      <c r="U20" s="207">
        <f t="shared" si="6"/>
        <v>249.75</v>
      </c>
    </row>
    <row r="22" ht="12.75">
      <c r="V22" s="209"/>
    </row>
    <row r="23" spans="2:22" ht="12.75">
      <c r="B23" s="209"/>
      <c r="C23" s="209"/>
      <c r="F23" s="8"/>
      <c r="G23" s="8"/>
      <c r="J23" s="209"/>
      <c r="K23" s="209"/>
      <c r="P23" s="8"/>
      <c r="Q23" s="8"/>
      <c r="V23" s="209"/>
    </row>
    <row r="24" spans="2:22" ht="12.75">
      <c r="B24" s="209"/>
      <c r="C24" s="209"/>
      <c r="F24" s="8"/>
      <c r="G24" s="8"/>
      <c r="J24" s="209"/>
      <c r="K24" s="209"/>
      <c r="V24" s="209"/>
    </row>
    <row r="25" spans="2:22" ht="12.75">
      <c r="B25" s="209"/>
      <c r="C25" s="209"/>
      <c r="F25" s="8"/>
      <c r="G25" s="8"/>
      <c r="J25" s="209"/>
      <c r="K25" s="209"/>
      <c r="R25" s="210">
        <f>R20-1bm!N22</f>
        <v>61056.21437600022</v>
      </c>
      <c r="T25" s="8">
        <f>+R25+2482-5460</f>
        <v>58078.21437600022</v>
      </c>
      <c r="V25" s="209"/>
    </row>
    <row r="26" spans="2:11" ht="12.75">
      <c r="B26" s="209"/>
      <c r="C26" s="209"/>
      <c r="F26" s="8"/>
      <c r="G26" s="8"/>
      <c r="J26" s="209"/>
      <c r="K26" s="209"/>
    </row>
    <row r="27" spans="2:18" ht="12.75">
      <c r="B27" s="209"/>
      <c r="C27" s="209"/>
      <c r="F27" s="8"/>
      <c r="G27" s="8"/>
      <c r="J27" s="209"/>
      <c r="K27" s="209"/>
      <c r="R27" s="8"/>
    </row>
    <row r="28" spans="2:11" ht="12.75">
      <c r="B28" s="209"/>
      <c r="C28" s="209"/>
      <c r="F28" s="8"/>
      <c r="G28" s="8"/>
      <c r="J28" s="209"/>
      <c r="K28" s="209"/>
    </row>
    <row r="29" spans="2:7" ht="12.75">
      <c r="B29" s="209"/>
      <c r="C29" s="209"/>
      <c r="F29" s="8"/>
      <c r="G29" s="8"/>
    </row>
    <row r="30" spans="2:7" ht="12.75">
      <c r="B30" s="209"/>
      <c r="C30" s="209"/>
      <c r="F30" s="8"/>
      <c r="G30" s="8"/>
    </row>
    <row r="31" spans="2:7" ht="12.75">
      <c r="B31" s="209"/>
      <c r="C31" s="209"/>
      <c r="F31" s="8"/>
      <c r="G31" s="8"/>
    </row>
  </sheetData>
  <sheetProtection/>
  <mergeCells count="16">
    <mergeCell ref="R1:U1"/>
    <mergeCell ref="A3:U3"/>
    <mergeCell ref="A2:U2"/>
    <mergeCell ref="L6:M6"/>
    <mergeCell ref="J6:K6"/>
    <mergeCell ref="R4:U4"/>
    <mergeCell ref="A5:A7"/>
    <mergeCell ref="B5:C6"/>
    <mergeCell ref="D5:E6"/>
    <mergeCell ref="F5:G6"/>
    <mergeCell ref="H5:I6"/>
    <mergeCell ref="P5:Q6"/>
    <mergeCell ref="R5:S6"/>
    <mergeCell ref="T5:U6"/>
    <mergeCell ref="J5:L5"/>
    <mergeCell ref="N5: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7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6">
      <selection activeCell="G81" sqref="G81"/>
    </sheetView>
  </sheetViews>
  <sheetFormatPr defaultColWidth="9.140625" defaultRowHeight="12.75"/>
  <cols>
    <col min="1" max="1" width="17.8515625" style="0" bestFit="1" customWidth="1"/>
    <col min="2" max="2" width="15.421875" style="0" bestFit="1" customWidth="1"/>
    <col min="4" max="4" width="19.00390625" style="0" bestFit="1" customWidth="1"/>
    <col min="5" max="5" width="22.57421875" style="0" bestFit="1" customWidth="1"/>
    <col min="6" max="6" width="18.00390625" style="0" bestFit="1" customWidth="1"/>
  </cols>
  <sheetData>
    <row r="2" spans="1:6" ht="16.5">
      <c r="A2" s="1331" t="s">
        <v>1422</v>
      </c>
      <c r="B2" s="1331"/>
      <c r="C2" s="1331"/>
      <c r="D2" s="1331"/>
      <c r="E2" s="1331"/>
      <c r="F2" s="1331"/>
    </row>
    <row r="4" spans="1:6" ht="15.75">
      <c r="A4" s="1332" t="s">
        <v>1423</v>
      </c>
      <c r="B4" s="1332"/>
      <c r="C4" s="1332"/>
      <c r="D4" s="1332"/>
      <c r="E4" s="1332"/>
      <c r="F4" s="1332"/>
    </row>
    <row r="5" spans="1:6" ht="15.75">
      <c r="A5" s="30"/>
      <c r="B5" s="30"/>
      <c r="C5" s="30"/>
      <c r="D5" s="30"/>
      <c r="E5" s="30"/>
      <c r="F5" s="91"/>
    </row>
    <row r="7" spans="1:5" ht="15.75">
      <c r="A7" s="30" t="s">
        <v>1424</v>
      </c>
      <c r="B7" s="1333" t="s">
        <v>1425</v>
      </c>
      <c r="C7" s="1333"/>
      <c r="D7" s="1333"/>
      <c r="E7" s="1333"/>
    </row>
    <row r="10" spans="1:7" ht="12.75">
      <c r="A10" s="822" t="s">
        <v>1426</v>
      </c>
      <c r="B10" s="1334" t="s">
        <v>1427</v>
      </c>
      <c r="C10" s="1334"/>
      <c r="D10" s="1335" t="s">
        <v>1428</v>
      </c>
      <c r="E10" s="1335" t="s">
        <v>1429</v>
      </c>
      <c r="F10" s="1335" t="s">
        <v>1430</v>
      </c>
      <c r="G10" s="1336"/>
    </row>
    <row r="11" spans="1:7" ht="12.75">
      <c r="A11" s="825" t="s">
        <v>1431</v>
      </c>
      <c r="B11" s="1337" t="s">
        <v>1432</v>
      </c>
      <c r="C11" s="1337"/>
      <c r="D11" s="1335"/>
      <c r="E11" s="1335"/>
      <c r="F11" s="1335"/>
      <c r="G11" s="1336"/>
    </row>
    <row r="12" spans="1:7" ht="12.75">
      <c r="A12" s="826"/>
      <c r="B12" s="827"/>
      <c r="C12" s="828"/>
      <c r="D12" s="828"/>
      <c r="E12" s="829"/>
      <c r="F12" s="829"/>
      <c r="G12" s="827"/>
    </row>
    <row r="13" spans="1:7" ht="12.75">
      <c r="A13" s="826"/>
      <c r="B13" s="827"/>
      <c r="C13" s="828"/>
      <c r="D13" s="830" t="s">
        <v>1433</v>
      </c>
      <c r="E13" s="825" t="s">
        <v>1434</v>
      </c>
      <c r="F13" s="825" t="s">
        <v>1434</v>
      </c>
      <c r="G13" s="827"/>
    </row>
    <row r="14" spans="1:7" ht="12.75">
      <c r="A14" s="831" t="s">
        <v>1435</v>
      </c>
      <c r="B14" s="1338" t="s">
        <v>1436</v>
      </c>
      <c r="C14" s="1338"/>
      <c r="D14" s="832"/>
      <c r="E14" s="832"/>
      <c r="F14" s="832"/>
      <c r="G14" s="833"/>
    </row>
    <row r="15" spans="1:7" ht="12.75">
      <c r="A15" s="834" t="s">
        <v>1437</v>
      </c>
      <c r="B15" s="1339" t="s">
        <v>1438</v>
      </c>
      <c r="C15" s="1339"/>
      <c r="D15" s="835">
        <v>7341</v>
      </c>
      <c r="E15" s="836">
        <v>6275143</v>
      </c>
      <c r="F15" s="836">
        <v>119152</v>
      </c>
      <c r="G15" s="833"/>
    </row>
    <row r="16" spans="1:7" ht="12.75">
      <c r="A16" s="834" t="s">
        <v>1439</v>
      </c>
      <c r="B16" s="1339" t="s">
        <v>563</v>
      </c>
      <c r="C16" s="1339"/>
      <c r="D16" s="835">
        <v>406</v>
      </c>
      <c r="E16" s="836">
        <v>149151</v>
      </c>
      <c r="F16" s="836">
        <v>14095</v>
      </c>
      <c r="G16" s="833"/>
    </row>
    <row r="17" spans="1:7" ht="12.75">
      <c r="A17" s="834" t="s">
        <v>564</v>
      </c>
      <c r="B17" s="1339" t="s">
        <v>565</v>
      </c>
      <c r="C17" s="1339"/>
      <c r="D17" s="835">
        <v>3580</v>
      </c>
      <c r="E17" s="836">
        <v>3413994</v>
      </c>
      <c r="F17" s="836">
        <v>127942</v>
      </c>
      <c r="G17" s="833"/>
    </row>
    <row r="18" spans="1:7" ht="12.75">
      <c r="A18" s="834" t="s">
        <v>566</v>
      </c>
      <c r="B18" s="1339" t="s">
        <v>567</v>
      </c>
      <c r="C18" s="1339"/>
      <c r="D18" s="835">
        <v>29</v>
      </c>
      <c r="E18" s="836">
        <v>38506</v>
      </c>
      <c r="F18" s="836">
        <v>3885</v>
      </c>
      <c r="G18" s="833"/>
    </row>
    <row r="19" spans="1:7" ht="12.75">
      <c r="A19" s="834" t="s">
        <v>568</v>
      </c>
      <c r="B19" s="1339" t="s">
        <v>42</v>
      </c>
      <c r="C19" s="1339"/>
      <c r="D19" s="835">
        <v>128</v>
      </c>
      <c r="E19" s="836">
        <v>132370</v>
      </c>
      <c r="F19" s="836">
        <v>89520</v>
      </c>
      <c r="G19" s="833"/>
    </row>
    <row r="20" spans="1:7" ht="12.75">
      <c r="A20" s="834" t="s">
        <v>569</v>
      </c>
      <c r="B20" s="1339" t="s">
        <v>570</v>
      </c>
      <c r="C20" s="1339"/>
      <c r="D20" s="835"/>
      <c r="E20" s="836"/>
      <c r="F20" s="836"/>
      <c r="G20" s="833"/>
    </row>
    <row r="21" spans="1:7" ht="12.75">
      <c r="A21" s="834" t="s">
        <v>571</v>
      </c>
      <c r="B21" s="1339" t="s">
        <v>572</v>
      </c>
      <c r="C21" s="1339"/>
      <c r="D21" s="835">
        <v>37</v>
      </c>
      <c r="E21" s="836">
        <v>45849</v>
      </c>
      <c r="F21" s="836"/>
      <c r="G21" s="833"/>
    </row>
    <row r="22" spans="1:7" ht="12.75">
      <c r="A22" s="834" t="s">
        <v>573</v>
      </c>
      <c r="B22" s="1339" t="s">
        <v>574</v>
      </c>
      <c r="C22" s="1339"/>
      <c r="D22" s="835"/>
      <c r="E22" s="836"/>
      <c r="F22" s="836">
        <v>940</v>
      </c>
      <c r="G22" s="833"/>
    </row>
    <row r="23" spans="1:7" ht="12.75">
      <c r="A23" s="834" t="s">
        <v>575</v>
      </c>
      <c r="B23" s="1339" t="s">
        <v>576</v>
      </c>
      <c r="C23" s="1339"/>
      <c r="D23" s="835"/>
      <c r="E23" s="836"/>
      <c r="F23" s="836"/>
      <c r="G23" s="833"/>
    </row>
    <row r="24" spans="1:7" ht="12.75">
      <c r="A24" s="834" t="s">
        <v>577</v>
      </c>
      <c r="B24" s="1339" t="s">
        <v>578</v>
      </c>
      <c r="C24" s="1339"/>
      <c r="D24" s="835">
        <v>8</v>
      </c>
      <c r="E24" s="836">
        <v>9746</v>
      </c>
      <c r="F24" s="836"/>
      <c r="G24" s="833"/>
    </row>
    <row r="25" spans="1:7" ht="12.75">
      <c r="A25" s="834" t="s">
        <v>579</v>
      </c>
      <c r="B25" s="1339" t="s">
        <v>580</v>
      </c>
      <c r="C25" s="1339"/>
      <c r="D25" s="835"/>
      <c r="E25" s="836"/>
      <c r="F25" s="836"/>
      <c r="G25" s="833"/>
    </row>
    <row r="26" spans="1:7" ht="12.75">
      <c r="A26" s="834" t="s">
        <v>581</v>
      </c>
      <c r="B26" s="1339" t="s">
        <v>582</v>
      </c>
      <c r="C26" s="1339"/>
      <c r="D26" s="835"/>
      <c r="E26" s="836"/>
      <c r="F26" s="836"/>
      <c r="G26" s="833"/>
    </row>
    <row r="27" spans="1:7" ht="12.75">
      <c r="A27" s="834" t="s">
        <v>583</v>
      </c>
      <c r="B27" s="1339" t="s">
        <v>584</v>
      </c>
      <c r="C27" s="1339"/>
      <c r="D27" s="835"/>
      <c r="E27" s="836"/>
      <c r="F27" s="836"/>
      <c r="G27" s="833"/>
    </row>
    <row r="28" spans="1:7" ht="12.75">
      <c r="A28" s="834" t="s">
        <v>585</v>
      </c>
      <c r="B28" s="1339" t="s">
        <v>586</v>
      </c>
      <c r="C28" s="1339"/>
      <c r="D28" s="835"/>
      <c r="E28" s="836"/>
      <c r="F28" s="836">
        <v>4000</v>
      </c>
      <c r="G28" s="833"/>
    </row>
    <row r="29" spans="1:7" ht="12.75">
      <c r="A29" s="834" t="s">
        <v>587</v>
      </c>
      <c r="B29" s="1339" t="s">
        <v>588</v>
      </c>
      <c r="C29" s="1339"/>
      <c r="D29" s="835"/>
      <c r="E29" s="836"/>
      <c r="F29" s="836"/>
      <c r="G29" s="833"/>
    </row>
    <row r="30" spans="1:7" ht="12.75">
      <c r="A30" s="834" t="s">
        <v>589</v>
      </c>
      <c r="B30" s="1339" t="s">
        <v>590</v>
      </c>
      <c r="C30" s="1339"/>
      <c r="D30" s="835"/>
      <c r="E30" s="836"/>
      <c r="F30" s="836"/>
      <c r="G30" s="833"/>
    </row>
    <row r="31" spans="1:7" ht="12.75">
      <c r="A31" s="834" t="s">
        <v>591</v>
      </c>
      <c r="B31" s="1339" t="s">
        <v>592</v>
      </c>
      <c r="C31" s="1339"/>
      <c r="D31" s="835"/>
      <c r="E31" s="836"/>
      <c r="F31" s="836"/>
      <c r="G31" s="833"/>
    </row>
    <row r="32" spans="1:7" ht="12.75">
      <c r="A32" s="834" t="s">
        <v>593</v>
      </c>
      <c r="B32" s="1339" t="s">
        <v>594</v>
      </c>
      <c r="C32" s="1339"/>
      <c r="D32" s="835"/>
      <c r="E32" s="836"/>
      <c r="F32" s="836"/>
      <c r="G32" s="833"/>
    </row>
    <row r="33" spans="1:7" ht="12.75">
      <c r="A33" s="834" t="s">
        <v>595</v>
      </c>
      <c r="B33" s="1339" t="s">
        <v>596</v>
      </c>
      <c r="C33" s="1339"/>
      <c r="D33" s="835">
        <v>8</v>
      </c>
      <c r="E33" s="836">
        <v>8645</v>
      </c>
      <c r="F33" s="836"/>
      <c r="G33" s="833"/>
    </row>
    <row r="34" spans="1:7" ht="12.75">
      <c r="A34" s="834" t="s">
        <v>597</v>
      </c>
      <c r="B34" s="1339" t="s">
        <v>192</v>
      </c>
      <c r="C34" s="1339"/>
      <c r="D34" s="835">
        <v>30</v>
      </c>
      <c r="E34" s="836">
        <v>27811</v>
      </c>
      <c r="F34" s="836"/>
      <c r="G34" s="833"/>
    </row>
    <row r="35" spans="1:7" ht="12.75">
      <c r="A35" s="834" t="s">
        <v>598</v>
      </c>
      <c r="B35" s="1339" t="s">
        <v>26</v>
      </c>
      <c r="C35" s="1339"/>
      <c r="D35" s="835">
        <v>1100</v>
      </c>
      <c r="E35" s="836">
        <v>928855</v>
      </c>
      <c r="F35" s="836"/>
      <c r="G35" s="833"/>
    </row>
    <row r="36" spans="1:7" ht="12.75">
      <c r="A36" s="834" t="s">
        <v>599</v>
      </c>
      <c r="B36" s="1339" t="s">
        <v>600</v>
      </c>
      <c r="C36" s="1339"/>
      <c r="D36" s="835"/>
      <c r="E36" s="836"/>
      <c r="F36" s="836"/>
      <c r="G36" s="833"/>
    </row>
    <row r="37" spans="1:7" ht="12.75">
      <c r="A37" s="834" t="s">
        <v>601</v>
      </c>
      <c r="B37" s="1339" t="s">
        <v>602</v>
      </c>
      <c r="C37" s="1339"/>
      <c r="D37" s="835">
        <v>16</v>
      </c>
      <c r="E37" s="836">
        <v>15379</v>
      </c>
      <c r="F37" s="836">
        <v>27078</v>
      </c>
      <c r="G37" s="833"/>
    </row>
    <row r="38" spans="1:7" ht="12.75">
      <c r="A38" s="837" t="s">
        <v>603</v>
      </c>
      <c r="B38" s="1342" t="s">
        <v>604</v>
      </c>
      <c r="C38" s="1342"/>
      <c r="D38" s="835"/>
      <c r="E38" s="836"/>
      <c r="F38" s="836"/>
      <c r="G38" s="833"/>
    </row>
    <row r="39" spans="1:7" ht="12.75">
      <c r="A39" s="838"/>
      <c r="B39" s="839"/>
      <c r="C39" s="840"/>
      <c r="D39" s="833"/>
      <c r="E39" s="833"/>
      <c r="F39" s="833"/>
      <c r="G39" s="833"/>
    </row>
    <row r="40" spans="1:7" ht="12.75">
      <c r="A40" s="838"/>
      <c r="B40" s="839"/>
      <c r="C40" s="840"/>
      <c r="D40" s="833"/>
      <c r="E40" s="833"/>
      <c r="F40" s="833"/>
      <c r="G40" s="833"/>
    </row>
    <row r="41" spans="1:7" ht="12.75">
      <c r="A41" s="838"/>
      <c r="B41" s="839"/>
      <c r="C41" s="840"/>
      <c r="D41" s="833"/>
      <c r="E41" s="833"/>
      <c r="F41" s="833"/>
      <c r="G41" s="833"/>
    </row>
    <row r="42" spans="1:7" ht="12.75">
      <c r="A42" s="838"/>
      <c r="B42" s="839"/>
      <c r="C42" s="840"/>
      <c r="D42" s="833"/>
      <c r="E42" s="833"/>
      <c r="F42" s="833"/>
      <c r="G42" s="833"/>
    </row>
    <row r="43" spans="1:7" ht="12.75">
      <c r="A43" s="822" t="s">
        <v>1426</v>
      </c>
      <c r="B43" s="1334" t="s">
        <v>1427</v>
      </c>
      <c r="C43" s="1334"/>
      <c r="D43" s="1335" t="s">
        <v>1428</v>
      </c>
      <c r="E43" s="1335" t="s">
        <v>1429</v>
      </c>
      <c r="F43" s="1335" t="s">
        <v>1430</v>
      </c>
      <c r="G43" s="824"/>
    </row>
    <row r="44" spans="1:7" ht="12.75">
      <c r="A44" s="825" t="s">
        <v>1431</v>
      </c>
      <c r="B44" s="1337" t="s">
        <v>1432</v>
      </c>
      <c r="C44" s="1337"/>
      <c r="D44" s="1335"/>
      <c r="E44" s="1335"/>
      <c r="F44" s="1335"/>
      <c r="G44" s="824"/>
    </row>
    <row r="45" spans="1:7" ht="12.75">
      <c r="A45" s="823"/>
      <c r="B45" s="822"/>
      <c r="C45" s="841"/>
      <c r="D45" s="823"/>
      <c r="E45" s="823"/>
      <c r="F45" s="823"/>
      <c r="G45" s="824"/>
    </row>
    <row r="46" spans="1:7" ht="12.75">
      <c r="A46" s="825"/>
      <c r="B46" s="842"/>
      <c r="C46" s="843"/>
      <c r="D46" s="830"/>
      <c r="E46" s="825"/>
      <c r="F46" s="825"/>
      <c r="G46" s="824"/>
    </row>
    <row r="47" spans="1:7" ht="12.75">
      <c r="A47" s="1337" t="s">
        <v>605</v>
      </c>
      <c r="B47" s="1334" t="s">
        <v>610</v>
      </c>
      <c r="C47" s="1334"/>
      <c r="D47" s="823"/>
      <c r="E47" s="823"/>
      <c r="F47" s="823"/>
      <c r="G47" s="824"/>
    </row>
    <row r="48" spans="1:7" ht="12.75">
      <c r="A48" s="1337"/>
      <c r="B48" s="1340" t="s">
        <v>611</v>
      </c>
      <c r="C48" s="1340"/>
      <c r="D48" s="844"/>
      <c r="E48" s="844"/>
      <c r="F48" s="844"/>
      <c r="G48" s="833"/>
    </row>
    <row r="49" spans="1:7" ht="12.75">
      <c r="A49" s="834" t="s">
        <v>612</v>
      </c>
      <c r="B49" s="1339" t="s">
        <v>613</v>
      </c>
      <c r="C49" s="1339"/>
      <c r="D49" s="835">
        <v>4334</v>
      </c>
      <c r="E49" s="836">
        <v>4762473</v>
      </c>
      <c r="F49" s="836">
        <v>2828292</v>
      </c>
      <c r="G49" s="833"/>
    </row>
    <row r="50" spans="1:7" ht="12.75">
      <c r="A50" s="834" t="s">
        <v>614</v>
      </c>
      <c r="B50" s="1339" t="s">
        <v>615</v>
      </c>
      <c r="C50" s="1339"/>
      <c r="D50" s="835">
        <v>16</v>
      </c>
      <c r="E50" s="836">
        <v>15552</v>
      </c>
      <c r="F50" s="836">
        <v>15997</v>
      </c>
      <c r="G50" s="833"/>
    </row>
    <row r="51" spans="1:7" ht="12.75">
      <c r="A51" s="834" t="s">
        <v>616</v>
      </c>
      <c r="B51" s="1339" t="s">
        <v>617</v>
      </c>
      <c r="C51" s="1339"/>
      <c r="D51" s="835"/>
      <c r="E51" s="836"/>
      <c r="F51" s="836"/>
      <c r="G51" s="833"/>
    </row>
    <row r="52" spans="1:7" ht="12.75">
      <c r="A52" s="1343">
        <v>112</v>
      </c>
      <c r="B52" s="1341" t="s">
        <v>618</v>
      </c>
      <c r="C52" s="1341"/>
      <c r="D52" s="845"/>
      <c r="E52" s="846"/>
      <c r="F52" s="846"/>
      <c r="G52" s="833"/>
    </row>
    <row r="53" spans="1:7" ht="12.75">
      <c r="A53" s="1343"/>
      <c r="B53" s="1341" t="s">
        <v>619</v>
      </c>
      <c r="C53" s="1341"/>
      <c r="D53" s="847">
        <v>1377</v>
      </c>
      <c r="E53" s="848">
        <v>1493354</v>
      </c>
      <c r="F53" s="848">
        <v>678302</v>
      </c>
      <c r="G53" s="833"/>
    </row>
    <row r="54" spans="1:7" ht="12.75">
      <c r="A54" s="849">
        <v>113</v>
      </c>
      <c r="B54" s="1339" t="s">
        <v>369</v>
      </c>
      <c r="C54" s="1339"/>
      <c r="D54" s="835">
        <v>137</v>
      </c>
      <c r="E54" s="836">
        <v>140734</v>
      </c>
      <c r="F54" s="836"/>
      <c r="G54" s="833"/>
    </row>
    <row r="55" spans="1:7" ht="12.75">
      <c r="A55" s="849">
        <v>114</v>
      </c>
      <c r="B55" s="1339" t="s">
        <v>1509</v>
      </c>
      <c r="C55" s="1339"/>
      <c r="D55" s="835"/>
      <c r="E55" s="836"/>
      <c r="F55" s="836"/>
      <c r="G55" s="833"/>
    </row>
    <row r="56" spans="1:7" ht="12.75">
      <c r="A56" s="849">
        <v>115</v>
      </c>
      <c r="B56" s="1339" t="s">
        <v>625</v>
      </c>
      <c r="C56" s="1339"/>
      <c r="D56" s="835"/>
      <c r="E56" s="836"/>
      <c r="F56" s="836"/>
      <c r="G56" s="833"/>
    </row>
    <row r="57" spans="1:7" ht="12.75">
      <c r="A57" s="1344">
        <v>116</v>
      </c>
      <c r="B57" s="1345" t="s">
        <v>1370</v>
      </c>
      <c r="C57" s="1345"/>
      <c r="D57" s="845"/>
      <c r="E57" s="846"/>
      <c r="F57" s="846"/>
      <c r="G57" s="833"/>
    </row>
    <row r="58" spans="1:7" ht="12.75">
      <c r="A58" s="1344"/>
      <c r="B58" s="1346" t="s">
        <v>626</v>
      </c>
      <c r="C58" s="1346"/>
      <c r="D58" s="847">
        <v>3644</v>
      </c>
      <c r="E58" s="848">
        <v>3379017</v>
      </c>
      <c r="F58" s="848">
        <v>527856</v>
      </c>
      <c r="G58" s="833"/>
    </row>
    <row r="59" spans="1:7" ht="12.75">
      <c r="A59" s="849">
        <v>117</v>
      </c>
      <c r="B59" s="1339" t="s">
        <v>627</v>
      </c>
      <c r="C59" s="1339"/>
      <c r="D59" s="835"/>
      <c r="E59" s="836"/>
      <c r="F59" s="836"/>
      <c r="G59" s="833"/>
    </row>
    <row r="60" spans="1:7" ht="12.75">
      <c r="A60" s="849">
        <v>118</v>
      </c>
      <c r="B60" s="1339" t="s">
        <v>628</v>
      </c>
      <c r="C60" s="1339"/>
      <c r="D60" s="835">
        <v>10</v>
      </c>
      <c r="E60" s="836">
        <v>6562</v>
      </c>
      <c r="F60" s="836"/>
      <c r="G60" s="833"/>
    </row>
    <row r="61" spans="1:7" ht="12.75">
      <c r="A61" s="849">
        <v>124</v>
      </c>
      <c r="B61" s="1339" t="s">
        <v>270</v>
      </c>
      <c r="C61" s="1339"/>
      <c r="D61" s="835">
        <v>1781</v>
      </c>
      <c r="E61" s="836">
        <v>1701217</v>
      </c>
      <c r="F61" s="836">
        <v>1533146</v>
      </c>
      <c r="G61" s="833"/>
    </row>
    <row r="62" spans="1:7" ht="12.75">
      <c r="A62" s="849">
        <v>125</v>
      </c>
      <c r="B62" s="1339" t="s">
        <v>629</v>
      </c>
      <c r="C62" s="1339"/>
      <c r="D62" s="835">
        <v>1827</v>
      </c>
      <c r="E62" s="836">
        <v>3240036</v>
      </c>
      <c r="F62" s="836">
        <v>783489</v>
      </c>
      <c r="G62" s="833"/>
    </row>
    <row r="63" spans="1:7" ht="12.75">
      <c r="A63" s="849">
        <v>126</v>
      </c>
      <c r="B63" s="1339" t="s">
        <v>271</v>
      </c>
      <c r="C63" s="1339"/>
      <c r="D63" s="835"/>
      <c r="E63" s="836"/>
      <c r="F63" s="836"/>
      <c r="G63" s="833"/>
    </row>
    <row r="64" spans="1:7" ht="12.75">
      <c r="A64" s="849">
        <v>128</v>
      </c>
      <c r="B64" s="1339" t="s">
        <v>272</v>
      </c>
      <c r="C64" s="1339"/>
      <c r="D64" s="835"/>
      <c r="E64" s="836"/>
      <c r="F64" s="836"/>
      <c r="G64" s="833"/>
    </row>
    <row r="65" spans="1:7" ht="12.75">
      <c r="A65" s="849">
        <v>138</v>
      </c>
      <c r="B65" s="1339" t="s">
        <v>630</v>
      </c>
      <c r="C65" s="1339"/>
      <c r="D65" s="835"/>
      <c r="E65" s="836"/>
      <c r="F65" s="836"/>
      <c r="G65" s="833"/>
    </row>
    <row r="66" spans="1:7" ht="12.75">
      <c r="A66" s="849">
        <v>140</v>
      </c>
      <c r="B66" s="1339" t="s">
        <v>631</v>
      </c>
      <c r="C66" s="1339"/>
      <c r="D66" s="835">
        <v>2688</v>
      </c>
      <c r="E66" s="836">
        <v>2267737</v>
      </c>
      <c r="F66" s="836">
        <v>460336</v>
      </c>
      <c r="G66" s="833"/>
    </row>
    <row r="67" spans="1:7" ht="12.75">
      <c r="A67" s="849">
        <v>142</v>
      </c>
      <c r="B67" s="850" t="s">
        <v>632</v>
      </c>
      <c r="C67" s="851"/>
      <c r="D67" s="835">
        <v>47</v>
      </c>
      <c r="E67" s="836">
        <v>44625</v>
      </c>
      <c r="F67" s="836"/>
      <c r="G67" s="833"/>
    </row>
    <row r="68" spans="1:7" ht="12.75">
      <c r="A68" s="849">
        <v>144</v>
      </c>
      <c r="B68" s="1339" t="s">
        <v>633</v>
      </c>
      <c r="C68" s="1339"/>
      <c r="D68" s="835"/>
      <c r="E68" s="836"/>
      <c r="F68" s="836"/>
      <c r="G68" s="833"/>
    </row>
    <row r="69" spans="1:7" ht="12.75">
      <c r="A69" s="1349">
        <v>154</v>
      </c>
      <c r="B69" s="1345" t="s">
        <v>634</v>
      </c>
      <c r="C69" s="1345"/>
      <c r="D69" s="845"/>
      <c r="E69" s="846"/>
      <c r="F69" s="846"/>
      <c r="G69" s="833"/>
    </row>
    <row r="70" spans="1:7" ht="12.75">
      <c r="A70" s="1349"/>
      <c r="B70" s="1351" t="s">
        <v>635</v>
      </c>
      <c r="C70" s="1351"/>
      <c r="D70" s="852"/>
      <c r="E70" s="853"/>
      <c r="F70" s="853"/>
      <c r="G70" s="833"/>
    </row>
    <row r="71" spans="1:7" ht="12.75">
      <c r="A71" s="1349"/>
      <c r="B71" s="1346" t="s">
        <v>636</v>
      </c>
      <c r="C71" s="1346"/>
      <c r="D71" s="847"/>
      <c r="E71" s="848"/>
      <c r="F71" s="848"/>
      <c r="G71" s="833"/>
    </row>
    <row r="72" spans="1:7" ht="12.75">
      <c r="A72" s="1344">
        <v>158</v>
      </c>
      <c r="B72" s="1345" t="s">
        <v>637</v>
      </c>
      <c r="C72" s="1345"/>
      <c r="D72" s="845"/>
      <c r="E72" s="846"/>
      <c r="F72" s="846"/>
      <c r="G72" s="833"/>
    </row>
    <row r="73" spans="1:7" ht="12.75">
      <c r="A73" s="1344"/>
      <c r="B73" s="1347" t="s">
        <v>638</v>
      </c>
      <c r="C73" s="1347"/>
      <c r="D73" s="847"/>
      <c r="E73" s="848"/>
      <c r="F73" s="848"/>
      <c r="G73" s="833"/>
    </row>
    <row r="74" spans="1:7" ht="12.75">
      <c r="A74" s="1349">
        <v>159</v>
      </c>
      <c r="B74" s="1345" t="s">
        <v>639</v>
      </c>
      <c r="C74" s="1345"/>
      <c r="D74" s="845"/>
      <c r="E74" s="846"/>
      <c r="F74" s="846"/>
      <c r="G74" s="833"/>
    </row>
    <row r="75" spans="1:7" ht="12.75">
      <c r="A75" s="1349"/>
      <c r="B75" s="1347" t="s">
        <v>1218</v>
      </c>
      <c r="C75" s="1347"/>
      <c r="D75" s="847"/>
      <c r="E75" s="848"/>
      <c r="F75" s="848"/>
      <c r="G75" s="833"/>
    </row>
    <row r="76" spans="1:7" ht="12.75">
      <c r="A76" s="849">
        <v>160</v>
      </c>
      <c r="B76" s="1339" t="s">
        <v>640</v>
      </c>
      <c r="C76" s="1339"/>
      <c r="D76" s="835"/>
      <c r="E76" s="836"/>
      <c r="F76" s="836"/>
      <c r="G76" s="833"/>
    </row>
    <row r="77" spans="1:7" ht="12.75">
      <c r="A77" s="849">
        <v>162</v>
      </c>
      <c r="B77" s="1339" t="s">
        <v>641</v>
      </c>
      <c r="C77" s="1339"/>
      <c r="D77" s="835">
        <v>8</v>
      </c>
      <c r="E77" s="836">
        <v>8856</v>
      </c>
      <c r="F77" s="836"/>
      <c r="G77" s="833"/>
    </row>
    <row r="78" spans="1:7" ht="12.75">
      <c r="A78" s="849">
        <v>172</v>
      </c>
      <c r="B78" s="1339" t="s">
        <v>642</v>
      </c>
      <c r="C78" s="1339"/>
      <c r="D78" s="835">
        <v>53</v>
      </c>
      <c r="E78" s="836">
        <v>50095</v>
      </c>
      <c r="F78" s="836"/>
      <c r="G78" s="833"/>
    </row>
    <row r="79" spans="1:7" ht="12.75">
      <c r="A79" s="834" t="s">
        <v>643</v>
      </c>
      <c r="B79" s="1339" t="s">
        <v>644</v>
      </c>
      <c r="C79" s="1339"/>
      <c r="D79" s="835">
        <v>1179</v>
      </c>
      <c r="E79" s="836">
        <v>1247140</v>
      </c>
      <c r="F79" s="836">
        <v>1519106</v>
      </c>
      <c r="G79" s="833"/>
    </row>
    <row r="80" spans="1:7" ht="12.75">
      <c r="A80" s="1350" t="s">
        <v>1487</v>
      </c>
      <c r="B80" s="1350"/>
      <c r="C80" s="1350"/>
      <c r="D80" s="845"/>
      <c r="E80" s="845"/>
      <c r="F80" s="845"/>
      <c r="G80" s="833"/>
    </row>
    <row r="81" spans="1:7" ht="12.75">
      <c r="A81" s="1350"/>
      <c r="B81" s="1350"/>
      <c r="C81" s="1350"/>
      <c r="D81" s="848">
        <f>SUM(D15:D79)</f>
        <v>29784</v>
      </c>
      <c r="E81" s="848">
        <f>SUM(E15,E16,E17,E18,E19,E21,E24,E33,E34,E35,E37,E49,E50,E53,E54,E58,E60,E61,E62,E66,E67,E77,E78,E79)</f>
        <v>29402847</v>
      </c>
      <c r="F81" s="848">
        <f>SUM(F15:F79)</f>
        <v>8733136</v>
      </c>
      <c r="G81" s="833"/>
    </row>
    <row r="82" spans="4:7" ht="12.75">
      <c r="D82" s="833"/>
      <c r="E82" s="833"/>
      <c r="F82" s="833"/>
      <c r="G82" s="833"/>
    </row>
    <row r="83" spans="1:7" ht="12.75">
      <c r="A83" s="10" t="s">
        <v>645</v>
      </c>
      <c r="B83" s="10"/>
      <c r="D83" s="833"/>
      <c r="E83" s="833"/>
      <c r="F83" s="833"/>
      <c r="G83" s="833"/>
    </row>
    <row r="84" spans="1:7" ht="12.75">
      <c r="A84" s="10"/>
      <c r="B84" s="10"/>
      <c r="D84" s="833"/>
      <c r="E84" s="833"/>
      <c r="F84" s="833"/>
      <c r="G84" s="833"/>
    </row>
    <row r="85" spans="5:6" ht="12.75">
      <c r="E85" s="1348" t="s">
        <v>478</v>
      </c>
      <c r="F85" s="1348"/>
    </row>
    <row r="86" spans="5:6" ht="12.75">
      <c r="E86" s="1348" t="s">
        <v>646</v>
      </c>
      <c r="F86" s="1348"/>
    </row>
  </sheetData>
  <sheetProtection/>
  <mergeCells count="80">
    <mergeCell ref="A74:A75"/>
    <mergeCell ref="B74:C74"/>
    <mergeCell ref="B75:C75"/>
    <mergeCell ref="A80:C81"/>
    <mergeCell ref="A69:A71"/>
    <mergeCell ref="B69:C69"/>
    <mergeCell ref="B70:C70"/>
    <mergeCell ref="B71:C71"/>
    <mergeCell ref="A72:A73"/>
    <mergeCell ref="B72:C72"/>
    <mergeCell ref="E85:F85"/>
    <mergeCell ref="E86:F86"/>
    <mergeCell ref="B76:C76"/>
    <mergeCell ref="B77:C77"/>
    <mergeCell ref="B78:C78"/>
    <mergeCell ref="B79:C79"/>
    <mergeCell ref="B73:C73"/>
    <mergeCell ref="B61:C61"/>
    <mergeCell ref="B66:C66"/>
    <mergeCell ref="B68:C68"/>
    <mergeCell ref="B64:C64"/>
    <mergeCell ref="B65:C65"/>
    <mergeCell ref="B62:C62"/>
    <mergeCell ref="B63:C63"/>
    <mergeCell ref="A52:A53"/>
    <mergeCell ref="B52:C52"/>
    <mergeCell ref="B59:C59"/>
    <mergeCell ref="B60:C60"/>
    <mergeCell ref="B54:C54"/>
    <mergeCell ref="A57:A58"/>
    <mergeCell ref="B57:C57"/>
    <mergeCell ref="B58:C58"/>
    <mergeCell ref="B55:C55"/>
    <mergeCell ref="B56:C56"/>
    <mergeCell ref="B53:C53"/>
    <mergeCell ref="B38:C38"/>
    <mergeCell ref="B43:C43"/>
    <mergeCell ref="B49:C49"/>
    <mergeCell ref="B50:C50"/>
    <mergeCell ref="B51:C51"/>
    <mergeCell ref="F43:F44"/>
    <mergeCell ref="B44:C44"/>
    <mergeCell ref="E43:E44"/>
    <mergeCell ref="A47:A48"/>
    <mergeCell ref="B47:C47"/>
    <mergeCell ref="B48:C48"/>
    <mergeCell ref="D43:D44"/>
    <mergeCell ref="B20:C20"/>
    <mergeCell ref="B21:C21"/>
    <mergeCell ref="B34:C34"/>
    <mergeCell ref="B35:C35"/>
    <mergeCell ref="B24:C24"/>
    <mergeCell ref="B25:C25"/>
    <mergeCell ref="B26:C26"/>
    <mergeCell ref="B27:C27"/>
    <mergeCell ref="B30:C30"/>
    <mergeCell ref="B31:C31"/>
    <mergeCell ref="B18:C18"/>
    <mergeCell ref="B19:C19"/>
    <mergeCell ref="B36:C36"/>
    <mergeCell ref="B37:C37"/>
    <mergeCell ref="B32:C32"/>
    <mergeCell ref="B33:C33"/>
    <mergeCell ref="B28:C28"/>
    <mergeCell ref="B29:C29"/>
    <mergeCell ref="B22:C22"/>
    <mergeCell ref="B23:C23"/>
    <mergeCell ref="G10:G11"/>
    <mergeCell ref="B11:C11"/>
    <mergeCell ref="B14:C14"/>
    <mergeCell ref="B15:C15"/>
    <mergeCell ref="B16:C16"/>
    <mergeCell ref="B17:C17"/>
    <mergeCell ref="A2:F2"/>
    <mergeCell ref="A4:F4"/>
    <mergeCell ref="B7:E7"/>
    <mergeCell ref="B10:C10"/>
    <mergeCell ref="D10:D11"/>
    <mergeCell ref="E10:E11"/>
    <mergeCell ref="F10:F11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2.28125" style="0" customWidth="1"/>
    <col min="3" max="3" width="10.421875" style="0" customWidth="1"/>
    <col min="4" max="4" width="11.421875" style="0" customWidth="1"/>
    <col min="5" max="5" width="11.28125" style="0" customWidth="1"/>
    <col min="7" max="7" width="9.28125" style="0" customWidth="1"/>
    <col min="8" max="8" width="13.7109375" style="0" customWidth="1"/>
  </cols>
  <sheetData>
    <row r="3" spans="3:9" ht="12.75">
      <c r="C3" t="s">
        <v>841</v>
      </c>
      <c r="D3" t="s">
        <v>1167</v>
      </c>
      <c r="E3" t="s">
        <v>845</v>
      </c>
      <c r="G3" t="s">
        <v>846</v>
      </c>
      <c r="I3" t="s">
        <v>848</v>
      </c>
    </row>
    <row r="4" spans="2:9" ht="12.75">
      <c r="B4" t="s">
        <v>842</v>
      </c>
      <c r="C4" s="8">
        <f>'10m'!I20</f>
        <v>101280</v>
      </c>
      <c r="D4">
        <v>0</v>
      </c>
      <c r="E4" s="8">
        <f>C4-D4</f>
        <v>101280</v>
      </c>
      <c r="G4" s="8">
        <f>'10m'!I27</f>
        <v>54964</v>
      </c>
      <c r="I4" s="8">
        <f>E4-G4</f>
        <v>46316</v>
      </c>
    </row>
    <row r="5" spans="2:9" ht="12.75">
      <c r="B5" t="s">
        <v>843</v>
      </c>
      <c r="C5" s="8">
        <f>2am!B31+2am!B32+2am!D31+2am!D32+2am!F31+2am!F32+2am!F33+2am!F34+2am!F35</f>
        <v>89109</v>
      </c>
      <c r="D5" s="8">
        <f>1am!B37+1am!B38+1am!B39+1am!B40+1am!B41</f>
        <v>46971</v>
      </c>
      <c r="E5" s="8">
        <f>C5-D5</f>
        <v>42138</v>
      </c>
      <c r="G5">
        <f>316*102+7140</f>
        <v>39372</v>
      </c>
      <c r="H5" t="s">
        <v>847</v>
      </c>
      <c r="I5" s="8">
        <f>E5-G5</f>
        <v>2766</v>
      </c>
    </row>
    <row r="6" spans="2:9" ht="12.75">
      <c r="B6" t="s">
        <v>337</v>
      </c>
      <c r="C6" s="8">
        <f>'11m'!I21</f>
        <v>77556</v>
      </c>
      <c r="D6" s="8">
        <f>'11m'!I24</f>
        <v>27434</v>
      </c>
      <c r="E6" s="8">
        <f>C6-D6</f>
        <v>50122</v>
      </c>
      <c r="G6" s="8">
        <f>'11m'!I28+'11m'!I29+'11m'!I30+'11m'!I31</f>
        <v>35375</v>
      </c>
      <c r="I6" s="8">
        <f>E6-G6</f>
        <v>14747</v>
      </c>
    </row>
    <row r="7" spans="2:9" ht="12.75">
      <c r="B7" t="s">
        <v>844</v>
      </c>
      <c r="C7" s="8">
        <f>'12m'!I21</f>
        <v>42142</v>
      </c>
      <c r="D7" s="8">
        <f>'12m'!I24+'12m'!I25+'12m'!I26+'12m'!I27+'12m'!I28</f>
        <v>20696</v>
      </c>
      <c r="E7" s="8">
        <f>C7-D7</f>
        <v>21446</v>
      </c>
      <c r="G7">
        <v>6102</v>
      </c>
      <c r="I7" s="8">
        <f>E7-G7</f>
        <v>15344</v>
      </c>
    </row>
    <row r="9" spans="3:9" ht="12.75">
      <c r="C9" s="8">
        <f>SUM(C4:C8)</f>
        <v>310087</v>
      </c>
      <c r="D9" s="8">
        <f>SUM(D4:D8)</f>
        <v>95101</v>
      </c>
      <c r="E9" s="8">
        <f>SUM(E4:E8)</f>
        <v>214986</v>
      </c>
      <c r="F9" s="8"/>
      <c r="G9" s="8">
        <f>SUM(G4:G8)</f>
        <v>135813</v>
      </c>
      <c r="I9" s="8">
        <f>SUM(I4:I8)</f>
        <v>79173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H69"/>
  <sheetViews>
    <sheetView view="pageBreakPreview" zoomScale="75" zoomScaleNormal="85" zoomScaleSheetLayoutView="75" zoomScalePageLayoutView="0" workbookViewId="0" topLeftCell="A4">
      <selection activeCell="E26" sqref="E26"/>
    </sheetView>
  </sheetViews>
  <sheetFormatPr defaultColWidth="9.140625" defaultRowHeight="12.75"/>
  <cols>
    <col min="1" max="1" width="13.57421875" style="91" bestFit="1" customWidth="1"/>
    <col min="2" max="2" width="81.7109375" style="91" customWidth="1"/>
    <col min="3" max="3" width="14.57421875" style="91" customWidth="1"/>
    <col min="4" max="4" width="12.8515625" style="91" customWidth="1"/>
    <col min="5" max="5" width="19.00390625" style="91" customWidth="1"/>
    <col min="6" max="6" width="12.7109375" style="0" bestFit="1" customWidth="1"/>
    <col min="7" max="7" width="13.140625" style="0" customWidth="1"/>
    <col min="8" max="8" width="11.8515625" style="0" bestFit="1" customWidth="1"/>
    <col min="9" max="9" width="11.28125" style="0" bestFit="1" customWidth="1"/>
  </cols>
  <sheetData>
    <row r="1" ht="36" customHeight="1">
      <c r="B1" s="44" t="s">
        <v>403</v>
      </c>
    </row>
    <row r="2" spans="1:5" ht="73.5" customHeight="1">
      <c r="A2" s="1352" t="s">
        <v>385</v>
      </c>
      <c r="B2" s="1353"/>
      <c r="C2" s="1353"/>
      <c r="D2" s="1353"/>
      <c r="E2" s="1353"/>
    </row>
    <row r="4" spans="1:5" ht="15">
      <c r="A4" s="1271" t="s">
        <v>164</v>
      </c>
      <c r="B4" s="1271"/>
      <c r="C4" s="1271"/>
      <c r="D4" s="1271"/>
      <c r="E4" s="1271"/>
    </row>
    <row r="7" spans="1:5" ht="15">
      <c r="A7" s="1279" t="s">
        <v>1019</v>
      </c>
      <c r="B7" s="1279"/>
      <c r="C7" s="1279"/>
      <c r="D7" s="1279"/>
      <c r="E7" s="1279"/>
    </row>
    <row r="8" spans="1:5" ht="15.75">
      <c r="A8" s="30"/>
      <c r="B8" s="30"/>
      <c r="C8" s="30"/>
      <c r="D8" s="30"/>
      <c r="E8" s="295"/>
    </row>
    <row r="9" spans="1:5" ht="15">
      <c r="A9" s="99">
        <v>92211</v>
      </c>
      <c r="B9" s="99" t="s">
        <v>1106</v>
      </c>
      <c r="C9" s="100"/>
      <c r="D9" s="100"/>
      <c r="E9" s="252">
        <v>22000</v>
      </c>
    </row>
    <row r="10" spans="1:5" ht="15">
      <c r="A10" s="99">
        <v>92217</v>
      </c>
      <c r="B10" s="99" t="s">
        <v>197</v>
      </c>
      <c r="C10" s="100"/>
      <c r="D10" s="100"/>
      <c r="E10" s="252">
        <v>80000</v>
      </c>
    </row>
    <row r="11" spans="1:5" ht="15">
      <c r="A11" s="99"/>
      <c r="B11" s="99" t="s">
        <v>1188</v>
      </c>
      <c r="C11" s="100"/>
      <c r="D11" s="100"/>
      <c r="E11" s="252">
        <v>0</v>
      </c>
    </row>
    <row r="12" spans="1:5" s="86" customFormat="1" ht="15">
      <c r="A12" s="446">
        <v>922</v>
      </c>
      <c r="B12" s="517" t="s">
        <v>813</v>
      </c>
      <c r="C12" s="522"/>
      <c r="D12" s="522"/>
      <c r="E12" s="881">
        <f>SUM(E9:E11)</f>
        <v>102000</v>
      </c>
    </row>
    <row r="13" spans="1:5" s="86" customFormat="1" ht="15">
      <c r="A13" s="99">
        <v>922181</v>
      </c>
      <c r="B13" s="99" t="s">
        <v>198</v>
      </c>
      <c r="C13" s="100"/>
      <c r="D13" s="100"/>
      <c r="E13" s="252">
        <v>100</v>
      </c>
    </row>
    <row r="14" spans="1:5" ht="15">
      <c r="A14" s="99">
        <v>92311</v>
      </c>
      <c r="B14" s="99" t="s">
        <v>194</v>
      </c>
      <c r="C14" s="100"/>
      <c r="D14" s="100"/>
      <c r="E14" s="252"/>
    </row>
    <row r="15" spans="1:6" ht="15">
      <c r="A15" s="99">
        <v>92312</v>
      </c>
      <c r="B15" s="99" t="s">
        <v>1109</v>
      </c>
      <c r="C15" s="100"/>
      <c r="D15" s="442"/>
      <c r="E15" s="252"/>
      <c r="F15" s="8">
        <f>E14+E15</f>
        <v>0</v>
      </c>
    </row>
    <row r="16" spans="1:5" ht="15">
      <c r="A16" s="99">
        <v>92314</v>
      </c>
      <c r="B16" s="99" t="s">
        <v>196</v>
      </c>
      <c r="C16" s="100"/>
      <c r="D16" s="100"/>
      <c r="E16" s="252">
        <v>12800</v>
      </c>
    </row>
    <row r="17" spans="1:5" ht="15">
      <c r="A17" s="446">
        <v>923</v>
      </c>
      <c r="B17" s="153" t="s">
        <v>98</v>
      </c>
      <c r="C17" s="446"/>
      <c r="D17" s="446"/>
      <c r="E17" s="882">
        <f>+E14+E15+E16</f>
        <v>12800</v>
      </c>
    </row>
    <row r="18" spans="1:5" ht="15">
      <c r="A18" s="99">
        <v>92411</v>
      </c>
      <c r="B18" s="99" t="s">
        <v>195</v>
      </c>
      <c r="C18" s="100"/>
      <c r="D18" s="100"/>
      <c r="E18" s="252"/>
    </row>
    <row r="19" spans="1:5" ht="15">
      <c r="A19" s="446">
        <v>924</v>
      </c>
      <c r="B19" s="153" t="s">
        <v>99</v>
      </c>
      <c r="C19" s="446"/>
      <c r="D19" s="446"/>
      <c r="E19" s="882">
        <f>+E18</f>
        <v>0</v>
      </c>
    </row>
    <row r="20" spans="1:5" ht="15">
      <c r="A20" s="481">
        <v>9251</v>
      </c>
      <c r="B20" s="482" t="s">
        <v>113</v>
      </c>
      <c r="C20" s="441"/>
      <c r="D20" s="441"/>
      <c r="E20" s="559"/>
    </row>
    <row r="21" spans="1:5" ht="15">
      <c r="A21" s="446">
        <v>925</v>
      </c>
      <c r="B21" s="153" t="s">
        <v>114</v>
      </c>
      <c r="C21" s="446"/>
      <c r="D21" s="446"/>
      <c r="E21" s="882">
        <f>+E20</f>
        <v>0</v>
      </c>
    </row>
    <row r="22" spans="1:5" ht="15">
      <c r="A22" s="99">
        <v>9261</v>
      </c>
      <c r="B22" s="99" t="s">
        <v>1110</v>
      </c>
      <c r="C22" s="100"/>
      <c r="D22" s="100"/>
      <c r="E22" s="252">
        <v>700</v>
      </c>
    </row>
    <row r="23" spans="1:5" ht="15.75" thickBot="1">
      <c r="A23" s="446">
        <v>926</v>
      </c>
      <c r="B23" s="153" t="s">
        <v>1110</v>
      </c>
      <c r="C23" s="446"/>
      <c r="D23" s="446"/>
      <c r="E23" s="1026">
        <f>+E22</f>
        <v>700</v>
      </c>
    </row>
    <row r="24" spans="1:5" ht="16.5" thickBot="1">
      <c r="A24" s="1354" t="s">
        <v>662</v>
      </c>
      <c r="B24" s="1355"/>
      <c r="C24" s="1355"/>
      <c r="D24" s="1355"/>
      <c r="E24" s="1027">
        <f>E12+E17+E19+E21+E23</f>
        <v>115500</v>
      </c>
    </row>
    <row r="25" spans="1:8" ht="15">
      <c r="A25" s="99">
        <v>929111</v>
      </c>
      <c r="B25" s="99" t="s">
        <v>257</v>
      </c>
      <c r="C25" s="100"/>
      <c r="D25" s="100"/>
      <c r="E25" s="1064">
        <v>3000</v>
      </c>
      <c r="H25" s="8"/>
    </row>
    <row r="26" spans="1:5" s="86" customFormat="1" ht="15">
      <c r="A26" s="479">
        <v>929112</v>
      </c>
      <c r="B26" s="479" t="s">
        <v>258</v>
      </c>
      <c r="C26" s="252"/>
      <c r="D26" s="252"/>
      <c r="E26" s="252"/>
    </row>
    <row r="27" spans="1:5" s="86" customFormat="1" ht="15">
      <c r="A27" s="479">
        <v>929113</v>
      </c>
      <c r="B27" s="479" t="s">
        <v>259</v>
      </c>
      <c r="C27" s="252">
        <v>350000</v>
      </c>
      <c r="D27" s="252"/>
      <c r="E27" s="976">
        <v>1000</v>
      </c>
    </row>
    <row r="28" spans="1:5" ht="15">
      <c r="A28" s="99">
        <v>92912</v>
      </c>
      <c r="B28" s="99" t="s">
        <v>260</v>
      </c>
      <c r="C28" s="100">
        <v>5000000</v>
      </c>
      <c r="D28" s="100"/>
      <c r="E28" s="976">
        <v>5000</v>
      </c>
    </row>
    <row r="29" spans="1:5" ht="15.75" thickBot="1">
      <c r="A29" s="518">
        <v>929</v>
      </c>
      <c r="B29" s="152" t="s">
        <v>1020</v>
      </c>
      <c r="C29" s="518"/>
      <c r="D29" s="518"/>
      <c r="E29" s="521">
        <f>+E25+E26+E27+E28</f>
        <v>9000</v>
      </c>
    </row>
    <row r="30" spans="1:5" ht="16.5" thickBot="1">
      <c r="A30" s="1354" t="s">
        <v>1314</v>
      </c>
      <c r="B30" s="1355"/>
      <c r="C30" s="1355"/>
      <c r="D30" s="1355"/>
      <c r="E30" s="476">
        <f>+E12+E17+E19+E21+E23+E29</f>
        <v>124500</v>
      </c>
    </row>
    <row r="32" spans="1:5" ht="15">
      <c r="A32" s="1356" t="s">
        <v>663</v>
      </c>
      <c r="B32" s="1356"/>
      <c r="C32" s="1356"/>
      <c r="D32" s="1356"/>
      <c r="E32" s="1356"/>
    </row>
    <row r="33" spans="1:5" ht="15">
      <c r="A33" s="479"/>
      <c r="B33" s="479" t="s">
        <v>212</v>
      </c>
      <c r="C33" s="252">
        <v>105881347</v>
      </c>
      <c r="D33" s="252"/>
      <c r="E33" s="252">
        <f aca="true" t="shared" si="0" ref="E33:E40">ROUND(C33,-3)/1000</f>
        <v>105881</v>
      </c>
    </row>
    <row r="34" spans="1:5" ht="15">
      <c r="A34" s="479"/>
      <c r="B34" s="479" t="s">
        <v>1189</v>
      </c>
      <c r="C34" s="252">
        <v>11700382</v>
      </c>
      <c r="D34" s="252"/>
      <c r="E34" s="252">
        <f t="shared" si="0"/>
        <v>11700</v>
      </c>
    </row>
    <row r="35" spans="1:5" ht="15">
      <c r="A35" s="479"/>
      <c r="B35" s="479" t="s">
        <v>1190</v>
      </c>
      <c r="C35" s="252">
        <v>16787599</v>
      </c>
      <c r="D35" s="252"/>
      <c r="E35" s="252">
        <f t="shared" si="0"/>
        <v>16788</v>
      </c>
    </row>
    <row r="36" spans="1:5" ht="15">
      <c r="A36" s="479"/>
      <c r="B36" s="479" t="s">
        <v>1192</v>
      </c>
      <c r="C36" s="252">
        <v>100000</v>
      </c>
      <c r="D36" s="252"/>
      <c r="E36" s="252">
        <f t="shared" si="0"/>
        <v>100</v>
      </c>
    </row>
    <row r="37" spans="1:5" ht="15">
      <c r="A37" s="479"/>
      <c r="B37" s="479" t="s">
        <v>1191</v>
      </c>
      <c r="C37" s="252">
        <v>3426260</v>
      </c>
      <c r="D37" s="252"/>
      <c r="E37" s="252">
        <f t="shared" si="0"/>
        <v>3426</v>
      </c>
    </row>
    <row r="38" spans="1:5" ht="15">
      <c r="A38" s="479"/>
      <c r="B38" s="479" t="s">
        <v>204</v>
      </c>
      <c r="C38" s="252">
        <v>-21396350</v>
      </c>
      <c r="D38" s="252"/>
      <c r="E38" s="252">
        <f t="shared" si="0"/>
        <v>-21396</v>
      </c>
    </row>
    <row r="39" spans="1:5" ht="15">
      <c r="A39" s="479"/>
      <c r="B39" s="479" t="s">
        <v>1193</v>
      </c>
      <c r="C39" s="252">
        <v>14453100</v>
      </c>
      <c r="D39" s="252"/>
      <c r="E39" s="252">
        <f t="shared" si="0"/>
        <v>14453</v>
      </c>
    </row>
    <row r="40" spans="1:5" ht="15">
      <c r="A40" s="883">
        <v>942</v>
      </c>
      <c r="B40" s="1017" t="s">
        <v>900</v>
      </c>
      <c r="C40" s="1021">
        <f>SUM(C33:C39)</f>
        <v>130952338</v>
      </c>
      <c r="D40" s="1022"/>
      <c r="E40" s="1023">
        <f t="shared" si="0"/>
        <v>130952</v>
      </c>
    </row>
    <row r="41" spans="1:5" ht="15.75">
      <c r="A41" s="883"/>
      <c r="B41" s="564" t="s">
        <v>902</v>
      </c>
      <c r="C41" s="1016">
        <v>47296000</v>
      </c>
      <c r="D41" s="883"/>
      <c r="E41" s="882"/>
    </row>
    <row r="42" spans="1:5" ht="15.75">
      <c r="A42" s="883"/>
      <c r="B42" s="564" t="s">
        <v>903</v>
      </c>
      <c r="C42" s="1016">
        <v>7668000</v>
      </c>
      <c r="D42" s="883"/>
      <c r="E42" s="882"/>
    </row>
    <row r="43" spans="1:6" ht="15.75">
      <c r="A43" s="479"/>
      <c r="B43" s="447" t="s">
        <v>904</v>
      </c>
      <c r="C43" s="155">
        <f>SUM(C44:C49)</f>
        <v>49368000</v>
      </c>
      <c r="D43" s="100"/>
      <c r="E43" s="1015">
        <f>ROUND(C43,-3)/1000</f>
        <v>49368</v>
      </c>
      <c r="F43" s="8"/>
    </row>
    <row r="44" spans="1:5" s="10" customFormat="1" ht="15">
      <c r="A44" s="1020"/>
      <c r="B44" s="447" t="s">
        <v>905</v>
      </c>
      <c r="C44" s="480">
        <v>7140000</v>
      </c>
      <c r="D44" s="100"/>
      <c r="E44" s="519"/>
    </row>
    <row r="45" spans="1:5" s="10" customFormat="1" ht="15">
      <c r="A45" s="1020"/>
      <c r="B45" s="447" t="s">
        <v>906</v>
      </c>
      <c r="C45" s="480">
        <v>32232000</v>
      </c>
      <c r="D45" s="100"/>
      <c r="E45" s="519"/>
    </row>
    <row r="46" spans="1:5" s="10" customFormat="1" ht="15">
      <c r="A46" s="1020"/>
      <c r="B46" s="447" t="s">
        <v>907</v>
      </c>
      <c r="C46" s="480">
        <v>1530000</v>
      </c>
      <c r="D46" s="100"/>
      <c r="E46" s="519"/>
    </row>
    <row r="47" spans="1:5" s="10" customFormat="1" ht="15">
      <c r="A47" s="1020"/>
      <c r="B47" s="447" t="s">
        <v>908</v>
      </c>
      <c r="C47" s="480">
        <v>918000</v>
      </c>
      <c r="D47" s="100"/>
      <c r="E47" s="519"/>
    </row>
    <row r="48" spans="1:5" s="10" customFormat="1" ht="15">
      <c r="A48" s="1020"/>
      <c r="B48" s="447" t="s">
        <v>909</v>
      </c>
      <c r="C48" s="480">
        <v>1122000</v>
      </c>
      <c r="D48" s="100"/>
      <c r="E48" s="519"/>
    </row>
    <row r="49" spans="1:5" s="10" customFormat="1" ht="15">
      <c r="A49" s="1020"/>
      <c r="B49" s="447" t="s">
        <v>910</v>
      </c>
      <c r="C49" s="480">
        <v>6426000</v>
      </c>
      <c r="D49" s="100"/>
      <c r="E49" s="519"/>
    </row>
    <row r="50" spans="1:6" ht="15.75">
      <c r="A50" s="479"/>
      <c r="B50" s="447" t="s">
        <v>911</v>
      </c>
      <c r="C50" s="155"/>
      <c r="D50" s="100"/>
      <c r="E50" s="1015"/>
      <c r="F50" s="8"/>
    </row>
    <row r="51" spans="1:5" ht="30">
      <c r="A51" s="883"/>
      <c r="B51" s="1018" t="s">
        <v>901</v>
      </c>
      <c r="C51" s="1023">
        <f>C41+C42+C43+C50</f>
        <v>104332000</v>
      </c>
      <c r="D51" s="1022"/>
      <c r="E51" s="1023">
        <f>ROUND(C51,-3)/1000</f>
        <v>104332</v>
      </c>
    </row>
    <row r="52" spans="1:5" ht="15.75">
      <c r="A52" s="99"/>
      <c r="B52" s="37" t="s">
        <v>1194</v>
      </c>
      <c r="C52" s="868">
        <v>93604000</v>
      </c>
      <c r="D52" s="100"/>
      <c r="E52" s="1015">
        <f>SUM(E53:E57)</f>
        <v>93604.4</v>
      </c>
    </row>
    <row r="53" spans="1:5" ht="15">
      <c r="A53" s="99"/>
      <c r="B53" s="564" t="s">
        <v>206</v>
      </c>
      <c r="D53" s="100"/>
      <c r="E53" s="100">
        <f>3am!B13*0.9</f>
        <v>5540.400000000001</v>
      </c>
    </row>
    <row r="54" spans="1:5" ht="15">
      <c r="A54" s="99"/>
      <c r="B54" s="564" t="s">
        <v>207</v>
      </c>
      <c r="C54" s="480"/>
      <c r="D54" s="100"/>
      <c r="E54" s="519">
        <f>3am!B15</f>
        <v>5800</v>
      </c>
    </row>
    <row r="55" spans="1:5" ht="15">
      <c r="A55" s="99"/>
      <c r="B55" s="564" t="s">
        <v>208</v>
      </c>
      <c r="C55" s="480"/>
      <c r="D55" s="100"/>
      <c r="E55" s="519">
        <f>3am!B16*0.9</f>
        <v>16200</v>
      </c>
    </row>
    <row r="56" spans="1:5" ht="15">
      <c r="A56" s="99"/>
      <c r="B56" s="564" t="s">
        <v>209</v>
      </c>
      <c r="C56" s="480"/>
      <c r="D56" s="100"/>
      <c r="E56" s="519">
        <f>3am!B14*0.8</f>
        <v>65664</v>
      </c>
    </row>
    <row r="57" spans="1:5" ht="15">
      <c r="A57" s="99"/>
      <c r="B57" s="564" t="s">
        <v>210</v>
      </c>
      <c r="C57" s="480"/>
      <c r="D57" s="100"/>
      <c r="E57" s="519">
        <f>3am!B27</f>
        <v>400</v>
      </c>
    </row>
    <row r="58" spans="1:5" ht="15">
      <c r="A58" s="99"/>
      <c r="B58" s="479" t="s">
        <v>211</v>
      </c>
      <c r="C58" s="480"/>
      <c r="D58" s="100"/>
      <c r="E58" s="519"/>
    </row>
    <row r="59" spans="1:5" ht="15.75">
      <c r="A59" s="99"/>
      <c r="B59" s="565" t="s">
        <v>1195</v>
      </c>
      <c r="C59" s="868">
        <v>40401190</v>
      </c>
      <c r="D59" s="100"/>
      <c r="E59" s="1015">
        <f>ROUND(C59,-3)/1000</f>
        <v>40401</v>
      </c>
    </row>
    <row r="60" spans="1:5" ht="15.75">
      <c r="A60" s="99"/>
      <c r="B60" s="565" t="s">
        <v>1196</v>
      </c>
      <c r="C60" s="868">
        <f>SUM(C61:C64)</f>
        <v>35375000</v>
      </c>
      <c r="D60" s="100"/>
      <c r="E60" s="1015">
        <f aca="true" t="shared" si="1" ref="E60:E66">ROUND(C60,-3)/1000</f>
        <v>35375</v>
      </c>
    </row>
    <row r="61" spans="1:5" ht="15">
      <c r="A61" s="99"/>
      <c r="B61" s="564" t="s">
        <v>913</v>
      </c>
      <c r="C61" s="480">
        <v>9688000</v>
      </c>
      <c r="D61" s="100"/>
      <c r="E61" s="519">
        <f t="shared" si="1"/>
        <v>9688</v>
      </c>
    </row>
    <row r="62" spans="1:5" ht="15">
      <c r="A62" s="99"/>
      <c r="B62" s="564" t="s">
        <v>914</v>
      </c>
      <c r="C62" s="480">
        <v>15950000</v>
      </c>
      <c r="D62" s="100"/>
      <c r="E62" s="519">
        <f t="shared" si="1"/>
        <v>15950</v>
      </c>
    </row>
    <row r="63" spans="1:5" ht="15">
      <c r="A63" s="99"/>
      <c r="B63" s="564" t="s">
        <v>915</v>
      </c>
      <c r="C63" s="480">
        <v>4796000</v>
      </c>
      <c r="D63" s="100"/>
      <c r="E63" s="519">
        <f t="shared" si="1"/>
        <v>4796</v>
      </c>
    </row>
    <row r="64" spans="1:5" ht="15">
      <c r="A64" s="99"/>
      <c r="B64" s="564" t="s">
        <v>205</v>
      </c>
      <c r="C64" s="480">
        <v>4941000</v>
      </c>
      <c r="D64" s="100"/>
      <c r="E64" s="519">
        <f t="shared" si="1"/>
        <v>4941</v>
      </c>
    </row>
    <row r="65" spans="1:5" ht="30.75">
      <c r="A65" s="99"/>
      <c r="B65" s="1019" t="s">
        <v>912</v>
      </c>
      <c r="C65" s="1025">
        <f>C52+C59+C60</f>
        <v>169380190</v>
      </c>
      <c r="D65" s="1024"/>
      <c r="E65" s="1028">
        <f t="shared" si="1"/>
        <v>169380</v>
      </c>
    </row>
    <row r="66" spans="1:5" ht="15.75">
      <c r="A66" s="99"/>
      <c r="B66" s="1019" t="s">
        <v>731</v>
      </c>
      <c r="C66" s="1025">
        <f>1140*5353</f>
        <v>6102420</v>
      </c>
      <c r="D66" s="1024"/>
      <c r="E66" s="1028">
        <f t="shared" si="1"/>
        <v>6102</v>
      </c>
    </row>
    <row r="67" spans="1:5" ht="15.75">
      <c r="A67" s="1058"/>
      <c r="B67" s="1059"/>
      <c r="C67" s="1060"/>
      <c r="D67" s="1061"/>
      <c r="E67" s="1062"/>
    </row>
    <row r="68" spans="1:5" ht="15.75">
      <c r="A68" s="1029" t="s">
        <v>183</v>
      </c>
      <c r="B68" s="1029"/>
      <c r="C68" s="1030">
        <f>C40+C51+C65</f>
        <v>404664528</v>
      </c>
      <c r="D68" s="1029"/>
      <c r="E68" s="71">
        <f>E40+E51+E65+E66</f>
        <v>410766</v>
      </c>
    </row>
    <row r="69" spans="1:5" ht="15.75">
      <c r="A69" s="1268"/>
      <c r="B69" s="1268"/>
      <c r="C69" s="1268"/>
      <c r="D69" s="1268"/>
      <c r="E69" s="77">
        <f>+E30+E68</f>
        <v>535266</v>
      </c>
    </row>
  </sheetData>
  <sheetProtection/>
  <mergeCells count="7">
    <mergeCell ref="A2:E2"/>
    <mergeCell ref="A4:E4"/>
    <mergeCell ref="A69:D69"/>
    <mergeCell ref="A7:E7"/>
    <mergeCell ref="A30:D30"/>
    <mergeCell ref="A32:E32"/>
    <mergeCell ref="A24:D24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8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9"/>
  <sheetViews>
    <sheetView view="pageBreakPreview" zoomScaleSheetLayoutView="100" zoomScalePageLayoutView="0" workbookViewId="0" topLeftCell="A4">
      <selection activeCell="E93" sqref="E93"/>
    </sheetView>
  </sheetViews>
  <sheetFormatPr defaultColWidth="9.140625" defaultRowHeight="12.75"/>
  <cols>
    <col min="1" max="1" width="12.421875" style="0" bestFit="1" customWidth="1"/>
    <col min="2" max="2" width="10.57421875" style="0" customWidth="1"/>
    <col min="3" max="3" width="7.28125" style="0" customWidth="1"/>
    <col min="4" max="4" width="43.7109375" style="0" customWidth="1"/>
    <col min="5" max="5" width="14.00390625" style="333" customWidth="1"/>
    <col min="6" max="6" width="9.57421875" style="0" bestFit="1" customWidth="1"/>
  </cols>
  <sheetData>
    <row r="1" spans="1:4" ht="12.75">
      <c r="A1" s="181"/>
      <c r="B1" s="181"/>
      <c r="C1" s="181"/>
      <c r="D1" s="328" t="s">
        <v>375</v>
      </c>
    </row>
    <row r="2" spans="1:4" ht="30.75" customHeight="1">
      <c r="A2" s="181"/>
      <c r="B2" s="181"/>
      <c r="C2" s="181"/>
      <c r="D2" s="415" t="s">
        <v>1351</v>
      </c>
    </row>
    <row r="3" spans="1:5" ht="12.75">
      <c r="A3" s="48" t="s">
        <v>1138</v>
      </c>
      <c r="B3" s="48" t="s">
        <v>1139</v>
      </c>
      <c r="C3" s="48" t="s">
        <v>1140</v>
      </c>
      <c r="D3" s="247" t="s">
        <v>1037</v>
      </c>
      <c r="E3" s="332" t="s">
        <v>809</v>
      </c>
    </row>
    <row r="4" spans="1:5" ht="12.75">
      <c r="A4" s="6"/>
      <c r="B4" s="6"/>
      <c r="C4" s="6"/>
      <c r="D4" s="6"/>
      <c r="E4" s="47"/>
    </row>
    <row r="5" spans="1:5" ht="12.75">
      <c r="A5" s="6"/>
      <c r="B5" s="6"/>
      <c r="C5" s="6"/>
      <c r="D5" s="45" t="s">
        <v>308</v>
      </c>
      <c r="E5" s="173"/>
    </row>
    <row r="6" spans="1:6" ht="12.75">
      <c r="A6" s="3">
        <v>1263</v>
      </c>
      <c r="B6" s="3">
        <v>429900</v>
      </c>
      <c r="C6" s="3">
        <v>106</v>
      </c>
      <c r="D6" s="698" t="s">
        <v>473</v>
      </c>
      <c r="E6" s="173"/>
      <c r="F6" s="1357">
        <f>E6+E7</f>
        <v>0</v>
      </c>
    </row>
    <row r="7" spans="1:6" ht="12.75">
      <c r="A7" s="3">
        <v>1811221</v>
      </c>
      <c r="B7" s="3">
        <v>429900</v>
      </c>
      <c r="C7" s="3">
        <v>106</v>
      </c>
      <c r="D7" s="698" t="s">
        <v>1352</v>
      </c>
      <c r="E7" s="173"/>
      <c r="F7" s="1358"/>
    </row>
    <row r="8" spans="1:6" ht="12.75">
      <c r="A8" s="3"/>
      <c r="B8" s="3"/>
      <c r="C8" s="3"/>
      <c r="D8" s="698"/>
      <c r="E8" s="173"/>
      <c r="F8" s="1070"/>
    </row>
    <row r="9" spans="1:5" ht="11.25" customHeight="1">
      <c r="A9" s="3"/>
      <c r="B9" s="3"/>
      <c r="C9" s="3"/>
      <c r="D9" s="641" t="s">
        <v>1242</v>
      </c>
      <c r="E9" s="173"/>
    </row>
    <row r="10" spans="1:6" ht="12.75">
      <c r="A10" s="3"/>
      <c r="B10" s="3"/>
      <c r="C10" s="3"/>
      <c r="D10" s="641" t="s">
        <v>1179</v>
      </c>
      <c r="E10" s="173"/>
      <c r="F10" s="8">
        <f>E9+E10</f>
        <v>0</v>
      </c>
    </row>
    <row r="11" spans="1:5" ht="12.75">
      <c r="A11" s="3"/>
      <c r="B11" s="3"/>
      <c r="C11" s="3"/>
      <c r="D11" s="641"/>
      <c r="E11" s="173"/>
    </row>
    <row r="12" spans="1:5" ht="12.75">
      <c r="A12" s="3"/>
      <c r="B12" s="3"/>
      <c r="C12" s="3"/>
      <c r="D12" s="641"/>
      <c r="E12" s="173"/>
    </row>
    <row r="13" spans="1:5" ht="12.75">
      <c r="A13" s="3"/>
      <c r="B13" s="3"/>
      <c r="C13" s="3"/>
      <c r="D13" s="247"/>
      <c r="E13" s="173"/>
    </row>
    <row r="14" spans="1:5" ht="12.75">
      <c r="A14" s="3"/>
      <c r="B14" s="3"/>
      <c r="C14" s="3"/>
      <c r="D14" s="256"/>
      <c r="E14" s="47"/>
    </row>
    <row r="15" spans="1:5" ht="12.75">
      <c r="A15" s="3"/>
      <c r="B15" s="3"/>
      <c r="C15" s="3"/>
      <c r="D15" s="256"/>
      <c r="E15" s="173"/>
    </row>
    <row r="16" spans="1:5" ht="25.5">
      <c r="A16" s="700">
        <v>1263</v>
      </c>
      <c r="B16" s="700">
        <v>890506</v>
      </c>
      <c r="C16" s="700">
        <v>116</v>
      </c>
      <c r="D16" s="701" t="s">
        <v>1353</v>
      </c>
      <c r="E16" s="173"/>
    </row>
    <row r="17" spans="1:5" ht="27.75" customHeight="1">
      <c r="A17" s="700">
        <v>1811221</v>
      </c>
      <c r="B17" s="700">
        <v>890506</v>
      </c>
      <c r="C17" s="700">
        <v>116</v>
      </c>
      <c r="D17" s="701" t="s">
        <v>1354</v>
      </c>
      <c r="E17" s="173"/>
    </row>
    <row r="18" spans="1:5" ht="12.75">
      <c r="A18" s="6"/>
      <c r="B18" s="6"/>
      <c r="C18" s="6"/>
      <c r="D18" s="6"/>
      <c r="E18" s="173"/>
    </row>
    <row r="19" spans="1:5" ht="12.75">
      <c r="A19" s="700"/>
      <c r="B19" s="700"/>
      <c r="C19" s="700"/>
      <c r="D19" s="701"/>
      <c r="E19" s="173"/>
    </row>
    <row r="20" spans="1:5" ht="12.75">
      <c r="A20" s="700"/>
      <c r="B20" s="700"/>
      <c r="C20" s="700"/>
      <c r="D20" s="701"/>
      <c r="E20" s="173"/>
    </row>
    <row r="21" spans="1:5" ht="12.75">
      <c r="A21" s="6"/>
      <c r="B21" s="6"/>
      <c r="C21" s="6"/>
      <c r="D21" s="247" t="s">
        <v>309</v>
      </c>
      <c r="E21" s="173"/>
    </row>
    <row r="22" spans="1:5" ht="25.5">
      <c r="A22" s="700"/>
      <c r="B22" s="700"/>
      <c r="C22" s="700"/>
      <c r="D22" s="701" t="s">
        <v>414</v>
      </c>
      <c r="E22" s="173"/>
    </row>
    <row r="23" spans="1:5" ht="25.5">
      <c r="A23" s="700"/>
      <c r="B23" s="700"/>
      <c r="C23" s="700"/>
      <c r="D23" s="701" t="s">
        <v>415</v>
      </c>
      <c r="E23" s="173"/>
    </row>
    <row r="24" spans="1:5" ht="12.75">
      <c r="A24" s="6"/>
      <c r="B24" s="6"/>
      <c r="C24" s="6"/>
      <c r="D24" s="6"/>
      <c r="E24" s="173"/>
    </row>
    <row r="25" spans="1:5" ht="12.75">
      <c r="A25" s="700">
        <v>126311</v>
      </c>
      <c r="B25" s="700">
        <v>370000</v>
      </c>
      <c r="C25" s="700">
        <v>138</v>
      </c>
      <c r="D25" s="701" t="s">
        <v>1355</v>
      </c>
      <c r="E25" s="173">
        <v>4000</v>
      </c>
    </row>
    <row r="26" spans="1:5" ht="12.75">
      <c r="A26" s="700">
        <v>18112211</v>
      </c>
      <c r="B26" s="700">
        <v>370000</v>
      </c>
      <c r="C26" s="700">
        <v>138</v>
      </c>
      <c r="D26" s="701" t="s">
        <v>1355</v>
      </c>
      <c r="E26" s="173">
        <f>E25*0.27</f>
        <v>1080</v>
      </c>
    </row>
    <row r="27" spans="1:5" ht="12.75">
      <c r="A27" s="6"/>
      <c r="B27" s="6"/>
      <c r="C27" s="6"/>
      <c r="D27" s="6"/>
      <c r="E27" s="173"/>
    </row>
    <row r="28" spans="1:5" ht="24.75" customHeight="1">
      <c r="A28" s="6"/>
      <c r="B28" s="6"/>
      <c r="C28" s="6"/>
      <c r="D28" s="48" t="s">
        <v>1356</v>
      </c>
      <c r="E28" s="179">
        <f>SUM(E6:E27)</f>
        <v>5080</v>
      </c>
    </row>
    <row r="29" spans="1:5" ht="12.75">
      <c r="A29" s="6"/>
      <c r="B29" s="6"/>
      <c r="C29" s="6"/>
      <c r="D29" s="6"/>
      <c r="E29" s="173"/>
    </row>
    <row r="30" spans="1:5" ht="12.75">
      <c r="A30" s="6"/>
      <c r="B30" s="6"/>
      <c r="C30" s="6"/>
      <c r="D30" s="14" t="s">
        <v>1357</v>
      </c>
      <c r="E30" s="173"/>
    </row>
    <row r="31" spans="1:5" ht="12.75">
      <c r="A31" s="6"/>
      <c r="B31" s="6"/>
      <c r="C31" s="6"/>
      <c r="D31" s="6"/>
      <c r="E31" s="173"/>
    </row>
    <row r="32" spans="1:5" ht="12.75">
      <c r="A32" s="3">
        <v>1263</v>
      </c>
      <c r="B32" s="3">
        <v>429900</v>
      </c>
      <c r="C32" s="3">
        <v>106</v>
      </c>
      <c r="D32" s="698" t="s">
        <v>473</v>
      </c>
      <c r="E32" s="173">
        <v>80425</v>
      </c>
    </row>
    <row r="33" spans="1:6" ht="12.75">
      <c r="A33" s="3">
        <v>1811221</v>
      </c>
      <c r="B33" s="3">
        <v>429900</v>
      </c>
      <c r="C33" s="3">
        <v>106</v>
      </c>
      <c r="D33" s="698" t="s">
        <v>1352</v>
      </c>
      <c r="E33" s="173">
        <v>21715</v>
      </c>
      <c r="F33" s="8">
        <f>SUM(E32:E33)</f>
        <v>102140</v>
      </c>
    </row>
    <row r="34" spans="1:5" ht="12.75">
      <c r="A34" s="3"/>
      <c r="B34" s="3"/>
      <c r="C34" s="3"/>
      <c r="D34" s="6"/>
      <c r="E34" s="161"/>
    </row>
    <row r="35" spans="1:5" ht="12.75">
      <c r="A35" s="3"/>
      <c r="B35" s="3"/>
      <c r="C35" s="3"/>
      <c r="D35" s="641" t="s">
        <v>1242</v>
      </c>
      <c r="E35" s="173">
        <v>60813</v>
      </c>
    </row>
    <row r="36" spans="1:6" ht="12.75">
      <c r="A36" s="3"/>
      <c r="B36" s="3"/>
      <c r="C36" s="3"/>
      <c r="D36" s="641" t="s">
        <v>1179</v>
      </c>
      <c r="E36" s="173">
        <v>16420</v>
      </c>
      <c r="F36" s="8">
        <f>SUM(E35:E36)</f>
        <v>77233</v>
      </c>
    </row>
    <row r="37" spans="1:5" ht="12.75">
      <c r="A37" s="3"/>
      <c r="B37" s="3"/>
      <c r="C37" s="3"/>
      <c r="D37" s="701"/>
      <c r="E37" s="173"/>
    </row>
    <row r="38" spans="1:5" ht="12.75">
      <c r="A38" s="3"/>
      <c r="B38" s="3"/>
      <c r="C38" s="3"/>
      <c r="D38" s="641" t="s">
        <v>1244</v>
      </c>
      <c r="E38" s="161">
        <v>412687</v>
      </c>
    </row>
    <row r="39" spans="1:6" ht="12.75">
      <c r="A39" s="3"/>
      <c r="B39" s="3"/>
      <c r="C39" s="3"/>
      <c r="D39" s="641" t="s">
        <v>500</v>
      </c>
      <c r="E39" s="309">
        <v>111425</v>
      </c>
      <c r="F39" s="8">
        <f>SUM(E38:E39)</f>
        <v>524112</v>
      </c>
    </row>
    <row r="40" spans="1:5" ht="12.75">
      <c r="A40" s="3"/>
      <c r="B40" s="3"/>
      <c r="C40" s="3"/>
      <c r="D40" s="641"/>
      <c r="E40" s="309"/>
    </row>
    <row r="41" spans="1:5" ht="12.75">
      <c r="A41" s="3"/>
      <c r="B41" s="3"/>
      <c r="C41" s="3"/>
      <c r="D41" s="641" t="s">
        <v>494</v>
      </c>
      <c r="E41" s="309">
        <v>35316</v>
      </c>
    </row>
    <row r="42" spans="1:5" ht="12.75">
      <c r="A42" s="3"/>
      <c r="B42" s="3"/>
      <c r="C42" s="3"/>
      <c r="D42" s="641" t="s">
        <v>501</v>
      </c>
      <c r="E42" s="309">
        <v>9535</v>
      </c>
    </row>
    <row r="43" spans="1:5" ht="12.75">
      <c r="A43" s="3"/>
      <c r="B43" s="3"/>
      <c r="C43" s="3"/>
      <c r="D43" s="6"/>
      <c r="E43" s="309"/>
    </row>
    <row r="44" spans="1:5" ht="12.75">
      <c r="A44" s="3"/>
      <c r="B44" s="3"/>
      <c r="C44" s="3"/>
      <c r="D44" s="12" t="s">
        <v>1358</v>
      </c>
      <c r="E44" s="309"/>
    </row>
    <row r="45" spans="1:5" ht="12.75">
      <c r="A45" s="3"/>
      <c r="B45" s="3"/>
      <c r="C45" s="3"/>
      <c r="D45" s="14"/>
      <c r="E45" s="309"/>
    </row>
    <row r="46" spans="1:5" ht="12.75">
      <c r="A46" s="3"/>
      <c r="B46" s="3"/>
      <c r="C46" s="3"/>
      <c r="D46" s="641"/>
      <c r="E46" s="309"/>
    </row>
    <row r="47" spans="1:5" ht="12.75">
      <c r="A47" s="3"/>
      <c r="B47" s="3"/>
      <c r="C47" s="3"/>
      <c r="D47" s="12" t="s">
        <v>1359</v>
      </c>
      <c r="E47" s="160">
        <v>0</v>
      </c>
    </row>
    <row r="48" spans="1:5" ht="12.75">
      <c r="A48" s="3"/>
      <c r="B48" s="3"/>
      <c r="C48" s="3"/>
      <c r="D48" s="12"/>
      <c r="E48" s="309"/>
    </row>
    <row r="49" spans="1:5" ht="12.75">
      <c r="A49" s="3"/>
      <c r="B49" s="3"/>
      <c r="C49" s="3"/>
      <c r="D49" s="12" t="s">
        <v>680</v>
      </c>
      <c r="E49" s="160">
        <v>0</v>
      </c>
    </row>
    <row r="50" spans="1:5" ht="12.75">
      <c r="A50" s="3"/>
      <c r="B50" s="3"/>
      <c r="C50" s="3"/>
      <c r="D50" s="12"/>
      <c r="E50" s="309"/>
    </row>
    <row r="51" spans="1:5" ht="12.75">
      <c r="A51" s="3"/>
      <c r="B51" s="3"/>
      <c r="C51" s="3"/>
      <c r="D51" s="12" t="s">
        <v>681</v>
      </c>
      <c r="E51" s="309"/>
    </row>
    <row r="52" spans="1:5" ht="12.75">
      <c r="A52" s="3"/>
      <c r="B52" s="3"/>
      <c r="C52" s="3"/>
      <c r="D52" s="12"/>
      <c r="E52" s="309"/>
    </row>
    <row r="53" spans="1:5" ht="12.75">
      <c r="A53" s="6"/>
      <c r="B53" s="6"/>
      <c r="C53" s="6"/>
      <c r="D53" s="190" t="s">
        <v>310</v>
      </c>
      <c r="E53" s="47"/>
    </row>
    <row r="54" spans="1:5" ht="12.75">
      <c r="A54" s="3"/>
      <c r="B54" s="3"/>
      <c r="C54" s="3"/>
      <c r="D54" s="6"/>
      <c r="E54" s="47"/>
    </row>
    <row r="55" spans="1:5" ht="12.75">
      <c r="A55" s="3"/>
      <c r="B55" s="3"/>
      <c r="C55" s="3"/>
      <c r="D55" s="12" t="s">
        <v>682</v>
      </c>
      <c r="E55" s="184">
        <f>SUM(E32:E52)</f>
        <v>748336</v>
      </c>
    </row>
    <row r="56" spans="1:5" ht="12.75">
      <c r="A56" s="3"/>
      <c r="B56" s="3"/>
      <c r="C56" s="3"/>
      <c r="D56" s="6"/>
      <c r="E56" s="47"/>
    </row>
    <row r="57" spans="1:5" ht="25.5">
      <c r="A57" s="3"/>
      <c r="B57" s="3"/>
      <c r="C57" s="3"/>
      <c r="D57" s="190" t="s">
        <v>683</v>
      </c>
      <c r="E57" s="173"/>
    </row>
    <row r="58" spans="1:5" ht="12.75">
      <c r="A58" s="3"/>
      <c r="B58" s="3"/>
      <c r="C58" s="3"/>
      <c r="D58" s="699"/>
      <c r="E58" s="173"/>
    </row>
    <row r="59" spans="1:5" ht="25.5">
      <c r="A59" s="3">
        <v>38215</v>
      </c>
      <c r="B59" s="3">
        <v>841126</v>
      </c>
      <c r="C59" s="3">
        <v>116</v>
      </c>
      <c r="D59" s="698" t="s">
        <v>684</v>
      </c>
      <c r="E59" s="173">
        <v>0</v>
      </c>
    </row>
    <row r="60" spans="1:5" ht="25.5">
      <c r="A60" s="3">
        <v>3821511</v>
      </c>
      <c r="B60" s="3">
        <v>841126</v>
      </c>
      <c r="C60" s="3">
        <v>116</v>
      </c>
      <c r="D60" s="698" t="s">
        <v>1221</v>
      </c>
      <c r="E60" s="173">
        <v>1582</v>
      </c>
    </row>
    <row r="61" spans="1:5" ht="25.5">
      <c r="A61" s="3">
        <v>38211512</v>
      </c>
      <c r="B61" s="3">
        <v>841126</v>
      </c>
      <c r="C61" s="3">
        <v>116</v>
      </c>
      <c r="D61" s="698" t="s">
        <v>1371</v>
      </c>
      <c r="E61" s="173">
        <v>0</v>
      </c>
    </row>
    <row r="62" spans="1:5" ht="25.5">
      <c r="A62" s="3"/>
      <c r="B62" s="3"/>
      <c r="C62" s="3"/>
      <c r="D62" s="190" t="s">
        <v>685</v>
      </c>
      <c r="E62" s="173">
        <f>E59+E60+E61</f>
        <v>1582</v>
      </c>
    </row>
    <row r="63" spans="1:5" ht="12.75">
      <c r="A63" s="3"/>
      <c r="B63" s="3"/>
      <c r="C63" s="3"/>
      <c r="D63" s="699"/>
      <c r="E63" s="173"/>
    </row>
    <row r="64" spans="1:5" ht="12.75">
      <c r="A64" s="3"/>
      <c r="B64" s="3"/>
      <c r="C64" s="3"/>
      <c r="D64" s="190" t="s">
        <v>686</v>
      </c>
      <c r="E64" s="179">
        <v>0</v>
      </c>
    </row>
    <row r="65" spans="1:5" ht="12.75">
      <c r="A65" s="3"/>
      <c r="B65" s="3"/>
      <c r="C65" s="3"/>
      <c r="D65" s="699"/>
      <c r="E65" s="47"/>
    </row>
    <row r="66" spans="1:6" ht="12.75">
      <c r="A66" s="3"/>
      <c r="B66" s="3"/>
      <c r="C66" s="3"/>
      <c r="D66" s="699"/>
      <c r="E66" s="173"/>
      <c r="F66" t="s">
        <v>312</v>
      </c>
    </row>
    <row r="67" spans="1:6" ht="25.5">
      <c r="A67" s="3">
        <v>4312112</v>
      </c>
      <c r="B67" s="3">
        <v>841126</v>
      </c>
      <c r="C67" s="3">
        <v>116</v>
      </c>
      <c r="D67" s="698" t="s">
        <v>687</v>
      </c>
      <c r="E67" s="173">
        <f>2108</f>
        <v>2108</v>
      </c>
      <c r="F67" s="209">
        <f>33366*0.1135</f>
        <v>3787.041</v>
      </c>
    </row>
    <row r="68" spans="1:6" ht="25.5">
      <c r="A68" s="3">
        <v>43121121</v>
      </c>
      <c r="B68" s="3">
        <v>841126</v>
      </c>
      <c r="C68" s="3">
        <v>116</v>
      </c>
      <c r="D68" s="698" t="s">
        <v>688</v>
      </c>
      <c r="E68" s="173">
        <f>6456</f>
        <v>6456</v>
      </c>
      <c r="F68" s="209">
        <f>69940*0.1135</f>
        <v>7938.1900000000005</v>
      </c>
    </row>
    <row r="69" spans="1:6" ht="25.5">
      <c r="A69" s="3">
        <v>4312112</v>
      </c>
      <c r="B69" s="3">
        <v>841126</v>
      </c>
      <c r="C69" s="3">
        <v>116</v>
      </c>
      <c r="D69" s="698" t="s">
        <v>689</v>
      </c>
      <c r="E69" s="173">
        <f>1040</f>
        <v>1040</v>
      </c>
      <c r="F69" s="209">
        <f>11431*0.06</f>
        <v>685.86</v>
      </c>
    </row>
    <row r="70" spans="1:6" ht="25.5">
      <c r="A70" s="3">
        <v>4312117</v>
      </c>
      <c r="B70" s="3">
        <v>841126</v>
      </c>
      <c r="C70" s="3">
        <v>116</v>
      </c>
      <c r="D70" s="698" t="s">
        <v>690</v>
      </c>
      <c r="E70" s="173">
        <f>384</f>
        <v>384</v>
      </c>
      <c r="F70" s="209">
        <f>5933*0.052</f>
        <v>308.51599999999996</v>
      </c>
    </row>
    <row r="71" spans="1:6" ht="12.75">
      <c r="A71" s="3">
        <v>43121115</v>
      </c>
      <c r="B71" s="3">
        <v>841126</v>
      </c>
      <c r="C71" s="3">
        <v>116</v>
      </c>
      <c r="D71" s="699" t="s">
        <v>229</v>
      </c>
      <c r="E71" s="173">
        <f>807</f>
        <v>807</v>
      </c>
      <c r="F71" s="209">
        <f>1614*0.052</f>
        <v>83.928</v>
      </c>
    </row>
    <row r="72" spans="1:6" ht="25.5">
      <c r="A72" s="3">
        <v>4312119</v>
      </c>
      <c r="B72" s="3">
        <v>841126</v>
      </c>
      <c r="C72" s="3">
        <v>116</v>
      </c>
      <c r="D72" s="699" t="s">
        <v>230</v>
      </c>
      <c r="E72" s="173">
        <f>1496</f>
        <v>1496</v>
      </c>
      <c r="F72" s="209">
        <f>2862*0.044</f>
        <v>125.928</v>
      </c>
    </row>
    <row r="73" spans="1:6" ht="12.75">
      <c r="A73" s="3">
        <v>43131131</v>
      </c>
      <c r="B73" s="3">
        <v>841126</v>
      </c>
      <c r="C73" s="3">
        <v>116</v>
      </c>
      <c r="D73" s="699" t="s">
        <v>231</v>
      </c>
      <c r="E73" s="173">
        <f>3004</f>
        <v>3004</v>
      </c>
      <c r="F73" s="209">
        <f>14266*0.042</f>
        <v>599.172</v>
      </c>
    </row>
    <row r="74" spans="1:6" ht="38.25">
      <c r="A74" s="3">
        <v>43131132</v>
      </c>
      <c r="B74" s="3">
        <v>841126</v>
      </c>
      <c r="C74" s="3">
        <v>116</v>
      </c>
      <c r="D74" s="698" t="s">
        <v>322</v>
      </c>
      <c r="E74" s="173">
        <f>846</f>
        <v>846</v>
      </c>
      <c r="F74" s="209">
        <f>5064*0.052</f>
        <v>263.328</v>
      </c>
    </row>
    <row r="75" spans="1:6" ht="12.75">
      <c r="A75" s="3"/>
      <c r="B75" s="3">
        <v>841126</v>
      </c>
      <c r="C75" s="3">
        <v>116</v>
      </c>
      <c r="D75" s="698" t="s">
        <v>323</v>
      </c>
      <c r="E75" s="173">
        <f>336</f>
        <v>336</v>
      </c>
      <c r="F75" s="209">
        <f>2016*0.052</f>
        <v>104.832</v>
      </c>
    </row>
    <row r="76" spans="1:5" ht="25.5">
      <c r="A76" s="6"/>
      <c r="B76" s="3"/>
      <c r="C76" s="3"/>
      <c r="D76" s="190" t="s">
        <v>232</v>
      </c>
      <c r="E76" s="179">
        <f>SUM(E67:E75)</f>
        <v>16477</v>
      </c>
    </row>
    <row r="77" spans="1:5" ht="12.75">
      <c r="A77" s="6"/>
      <c r="B77" s="3"/>
      <c r="C77" s="3"/>
      <c r="D77" s="190"/>
      <c r="E77" s="179"/>
    </row>
    <row r="78" spans="1:5" ht="25.5">
      <c r="A78" s="3">
        <v>573111211</v>
      </c>
      <c r="B78" s="3">
        <v>841126</v>
      </c>
      <c r="C78" s="3">
        <v>116</v>
      </c>
      <c r="D78" s="698" t="s">
        <v>233</v>
      </c>
      <c r="E78" s="890">
        <f>31259*0.1135</f>
        <v>3547.8965000000003</v>
      </c>
    </row>
    <row r="79" spans="1:5" ht="25.5">
      <c r="A79" s="3">
        <v>57311214</v>
      </c>
      <c r="B79" s="3">
        <v>841126</v>
      </c>
      <c r="C79" s="3">
        <v>116</v>
      </c>
      <c r="D79" s="698" t="s">
        <v>234</v>
      </c>
      <c r="E79" s="890">
        <f>63484*0.1135</f>
        <v>7205.434</v>
      </c>
    </row>
    <row r="80" spans="1:5" ht="25.5">
      <c r="A80" s="3">
        <v>573111212</v>
      </c>
      <c r="B80" s="3">
        <v>841126</v>
      </c>
      <c r="C80" s="3">
        <v>116</v>
      </c>
      <c r="D80" s="698" t="s">
        <v>689</v>
      </c>
      <c r="E80" s="890">
        <f>10391*0.06</f>
        <v>623.4599999999999</v>
      </c>
    </row>
    <row r="81" spans="1:5" ht="25.5">
      <c r="A81" s="3">
        <v>573111216</v>
      </c>
      <c r="B81" s="3">
        <v>841126</v>
      </c>
      <c r="C81" s="3">
        <v>116</v>
      </c>
      <c r="D81" s="698" t="s">
        <v>235</v>
      </c>
      <c r="E81" s="890">
        <f>5549*0.052</f>
        <v>288.548</v>
      </c>
    </row>
    <row r="82" spans="1:5" ht="25.5">
      <c r="A82" s="3">
        <v>573111215</v>
      </c>
      <c r="B82" s="3">
        <v>841126</v>
      </c>
      <c r="C82" s="3">
        <v>116</v>
      </c>
      <c r="D82" s="698" t="s">
        <v>236</v>
      </c>
      <c r="E82" s="890">
        <f>807*0.052</f>
        <v>41.964</v>
      </c>
    </row>
    <row r="83" spans="1:5" ht="25.5">
      <c r="A83" s="3">
        <v>573111218</v>
      </c>
      <c r="B83" s="3">
        <v>841126</v>
      </c>
      <c r="C83" s="3">
        <v>116</v>
      </c>
      <c r="D83" s="698" t="s">
        <v>237</v>
      </c>
      <c r="E83" s="890">
        <f>1366*0.044</f>
        <v>60.104</v>
      </c>
    </row>
    <row r="84" spans="1:6" ht="12.75">
      <c r="A84" s="3">
        <v>57311114</v>
      </c>
      <c r="B84" s="3">
        <v>841126</v>
      </c>
      <c r="C84" s="3">
        <v>116</v>
      </c>
      <c r="D84" s="698" t="s">
        <v>238</v>
      </c>
      <c r="E84" s="890">
        <f>11262*0.042</f>
        <v>473.004</v>
      </c>
      <c r="F84" s="333">
        <v>483</v>
      </c>
    </row>
    <row r="85" spans="1:6" ht="38.25">
      <c r="A85" s="3">
        <v>57311113</v>
      </c>
      <c r="B85" s="3">
        <v>841126</v>
      </c>
      <c r="C85" s="3">
        <v>116</v>
      </c>
      <c r="D85" s="698" t="s">
        <v>322</v>
      </c>
      <c r="E85" s="890">
        <f>4218*0.052</f>
        <v>219.33599999999998</v>
      </c>
      <c r="F85" s="333">
        <v>307</v>
      </c>
    </row>
    <row r="86" spans="1:6" ht="12.75">
      <c r="A86" s="3"/>
      <c r="B86" s="3">
        <v>841126</v>
      </c>
      <c r="C86" s="3">
        <v>116</v>
      </c>
      <c r="D86" s="698" t="s">
        <v>323</v>
      </c>
      <c r="E86" s="890">
        <f>1680*0.052</f>
        <v>87.36</v>
      </c>
      <c r="F86" s="333"/>
    </row>
    <row r="87" spans="1:5" ht="25.5">
      <c r="A87" s="6"/>
      <c r="B87" s="6"/>
      <c r="C87" s="6"/>
      <c r="D87" s="190" t="s">
        <v>1177</v>
      </c>
      <c r="E87" s="179">
        <f>SUM(E78:E86)</f>
        <v>12547.1065</v>
      </c>
    </row>
    <row r="88" spans="1:5" ht="12.75">
      <c r="A88" s="3"/>
      <c r="B88" s="3"/>
      <c r="C88" s="3"/>
      <c r="D88" s="190"/>
      <c r="E88" s="47"/>
    </row>
    <row r="89" spans="1:5" ht="12.75">
      <c r="A89" s="3"/>
      <c r="B89" s="3"/>
      <c r="C89" s="3"/>
      <c r="D89" s="702" t="s">
        <v>239</v>
      </c>
      <c r="E89" s="47"/>
    </row>
    <row r="90" spans="1:5" ht="12.75">
      <c r="A90" s="3"/>
      <c r="B90" s="3"/>
      <c r="C90" s="3"/>
      <c r="D90" s="6"/>
      <c r="E90" s="173"/>
    </row>
    <row r="91" spans="1:6" ht="25.5">
      <c r="A91" s="3">
        <v>5521212</v>
      </c>
      <c r="B91" s="3">
        <v>841126</v>
      </c>
      <c r="C91" s="3">
        <v>116</v>
      </c>
      <c r="D91" s="698" t="s">
        <v>240</v>
      </c>
      <c r="E91" s="333">
        <f>F91/1.27</f>
        <v>4172.541732283465</v>
      </c>
      <c r="F91" s="173">
        <f>1103985*0.4*12/1000</f>
        <v>5299.128</v>
      </c>
    </row>
    <row r="92" spans="1:5" ht="25.5">
      <c r="A92" s="3">
        <v>561212</v>
      </c>
      <c r="B92" s="3">
        <v>841126</v>
      </c>
      <c r="C92" s="3">
        <v>116</v>
      </c>
      <c r="D92" s="698" t="s">
        <v>241</v>
      </c>
      <c r="E92" s="173">
        <f>E91*0.27</f>
        <v>1126.5862677165355</v>
      </c>
    </row>
    <row r="93" spans="1:5" ht="12.75">
      <c r="A93" s="3"/>
      <c r="B93" s="3"/>
      <c r="C93" s="3"/>
      <c r="D93" s="702" t="s">
        <v>242</v>
      </c>
      <c r="E93" s="179">
        <f>E91+E92</f>
        <v>5299.128000000001</v>
      </c>
    </row>
    <row r="94" spans="1:5" ht="12.75">
      <c r="A94" s="3"/>
      <c r="B94" s="3"/>
      <c r="C94" s="3"/>
      <c r="D94" s="699"/>
      <c r="E94" s="173"/>
    </row>
    <row r="95" spans="1:5" ht="12.75">
      <c r="A95" s="3"/>
      <c r="B95" s="3"/>
      <c r="C95" s="3"/>
      <c r="D95" s="190" t="s">
        <v>317</v>
      </c>
      <c r="E95" s="173"/>
    </row>
    <row r="96" spans="1:5" ht="12.75">
      <c r="A96" s="3"/>
      <c r="B96" s="3"/>
      <c r="C96" s="3"/>
      <c r="D96" s="699"/>
      <c r="E96" s="173"/>
    </row>
    <row r="97" spans="1:6" ht="12.75">
      <c r="A97" s="3">
        <v>5521221</v>
      </c>
      <c r="B97" s="3">
        <v>931102</v>
      </c>
      <c r="C97" s="3">
        <v>172</v>
      </c>
      <c r="D97" s="698" t="s">
        <v>243</v>
      </c>
      <c r="E97" s="173">
        <v>4330</v>
      </c>
      <c r="F97" s="9">
        <v>0.4</v>
      </c>
    </row>
    <row r="98" spans="1:5" ht="12.75">
      <c r="A98" s="3">
        <v>561211</v>
      </c>
      <c r="B98" s="3">
        <v>931102</v>
      </c>
      <c r="C98" s="3">
        <v>172</v>
      </c>
      <c r="D98" s="698" t="s">
        <v>244</v>
      </c>
      <c r="E98" s="173">
        <f>E97*0.27+1</f>
        <v>1170.1000000000001</v>
      </c>
    </row>
    <row r="99" spans="1:5" ht="12.75">
      <c r="A99" s="3"/>
      <c r="B99" s="3"/>
      <c r="C99" s="3"/>
      <c r="D99" s="698"/>
      <c r="E99" s="173"/>
    </row>
    <row r="100" spans="1:5" ht="25.5">
      <c r="A100" s="3"/>
      <c r="B100" s="3"/>
      <c r="C100" s="3"/>
      <c r="D100" s="190" t="s">
        <v>245</v>
      </c>
      <c r="E100" s="179">
        <f>E97+E98</f>
        <v>5500.1</v>
      </c>
    </row>
    <row r="101" spans="1:5" ht="12.75">
      <c r="A101" s="3"/>
      <c r="B101" s="3"/>
      <c r="C101" s="3"/>
      <c r="D101" s="6"/>
      <c r="E101" s="173"/>
    </row>
    <row r="102" spans="1:5" ht="25.5">
      <c r="A102" s="3"/>
      <c r="B102" s="3"/>
      <c r="C102" s="3"/>
      <c r="D102" s="702" t="s">
        <v>357</v>
      </c>
      <c r="E102" s="47">
        <f>E104</f>
        <v>4050.0000000000005</v>
      </c>
    </row>
    <row r="103" spans="1:5" ht="12.75">
      <c r="A103" s="3"/>
      <c r="B103" s="3"/>
      <c r="C103" s="3"/>
      <c r="D103" s="6"/>
      <c r="E103" s="47"/>
    </row>
    <row r="104" spans="1:5" ht="12.75">
      <c r="A104" s="3">
        <v>561131</v>
      </c>
      <c r="B104" s="3">
        <v>370000</v>
      </c>
      <c r="C104" s="3">
        <v>138</v>
      </c>
      <c r="D104" s="14" t="s">
        <v>61</v>
      </c>
      <c r="E104" s="47">
        <f>'Fejlesztési bevételek'!E19</f>
        <v>4050.0000000000005</v>
      </c>
    </row>
    <row r="105" spans="1:5" ht="12.75">
      <c r="A105" s="6"/>
      <c r="B105" s="6"/>
      <c r="C105" s="6"/>
      <c r="D105" s="6"/>
      <c r="E105" s="47"/>
    </row>
    <row r="106" spans="1:5" ht="12.75">
      <c r="A106" s="6"/>
      <c r="B106" s="6"/>
      <c r="C106" s="6"/>
      <c r="D106" s="12" t="s">
        <v>319</v>
      </c>
      <c r="E106" s="47">
        <f>E108</f>
        <v>0</v>
      </c>
    </row>
    <row r="107" spans="1:5" ht="12.75">
      <c r="A107" s="6"/>
      <c r="B107" s="6"/>
      <c r="C107" s="6"/>
      <c r="D107" s="6"/>
      <c r="E107" s="47"/>
    </row>
    <row r="108" spans="1:5" ht="12.75">
      <c r="A108" s="3">
        <v>59212</v>
      </c>
      <c r="B108" s="3">
        <v>841126</v>
      </c>
      <c r="C108" s="3">
        <v>116</v>
      </c>
      <c r="D108" s="14" t="s">
        <v>62</v>
      </c>
      <c r="E108" s="47"/>
    </row>
    <row r="109" spans="1:5" ht="47.25" customHeight="1">
      <c r="A109" s="6"/>
      <c r="B109" s="6"/>
      <c r="C109" s="6"/>
      <c r="D109" s="703" t="s">
        <v>63</v>
      </c>
      <c r="E109" s="704">
        <f>E28+E55+E62+E76+E87+E93+E100+E102+E106</f>
        <v>798871.3345</v>
      </c>
    </row>
  </sheetData>
  <sheetProtection/>
  <mergeCells count="1">
    <mergeCell ref="F6:F7"/>
  </mergeCells>
  <printOptions/>
  <pageMargins left="0.7" right="0.7" top="0.75" bottom="0.75" header="0.3" footer="0.3"/>
  <pageSetup horizontalDpi="600" verticalDpi="600" orientation="portrait" paperSize="9" scale="83" r:id="rId1"/>
  <rowBreaks count="2" manualBreakCount="2">
    <brk id="28" max="4" man="1"/>
    <brk id="55" max="4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view="pageBreakPreview" zoomScaleSheetLayoutView="100" zoomScalePageLayoutView="0" workbookViewId="0" topLeftCell="A13">
      <selection activeCell="E18" sqref="E18"/>
    </sheetView>
  </sheetViews>
  <sheetFormatPr defaultColWidth="9.140625" defaultRowHeight="12.75"/>
  <cols>
    <col min="1" max="1" width="11.00390625" style="181" bestFit="1" customWidth="1"/>
    <col min="2" max="2" width="11.7109375" style="181" bestFit="1" customWidth="1"/>
    <col min="3" max="3" width="6.7109375" style="181" customWidth="1"/>
    <col min="4" max="4" width="45.28125" style="416" customWidth="1"/>
    <col min="5" max="5" width="13.8515625" style="181" bestFit="1" customWidth="1"/>
  </cols>
  <sheetData>
    <row r="1" ht="12.75">
      <c r="D1" s="328" t="s">
        <v>130</v>
      </c>
    </row>
    <row r="2" ht="27.75" customHeight="1">
      <c r="D2" s="415" t="s">
        <v>1350</v>
      </c>
    </row>
    <row r="3" spans="1:5" s="412" customFormat="1" ht="25.5" customHeight="1">
      <c r="A3" s="48" t="s">
        <v>1138</v>
      </c>
      <c r="B3" s="48" t="s">
        <v>1139</v>
      </c>
      <c r="C3" s="48" t="s">
        <v>1140</v>
      </c>
      <c r="D3" s="247" t="s">
        <v>1037</v>
      </c>
      <c r="E3" s="48" t="s">
        <v>809</v>
      </c>
    </row>
    <row r="4" spans="1:5" s="10" customFormat="1" ht="12.75">
      <c r="A4" s="53"/>
      <c r="B4" s="53"/>
      <c r="C4" s="53"/>
      <c r="D4" s="694" t="s">
        <v>1146</v>
      </c>
      <c r="E4" s="184"/>
    </row>
    <row r="5" spans="1:5" s="10" customFormat="1" ht="12.75">
      <c r="A5" s="53"/>
      <c r="B5" s="53"/>
      <c r="C5" s="53"/>
      <c r="D5" s="694"/>
      <c r="E5" s="184"/>
    </row>
    <row r="6" spans="1:5" s="10" customFormat="1" ht="25.5">
      <c r="A6" s="53"/>
      <c r="B6" s="53"/>
      <c r="C6" s="53"/>
      <c r="D6" s="694" t="s">
        <v>1141</v>
      </c>
      <c r="E6" s="184"/>
    </row>
    <row r="7" spans="1:5" ht="12.75">
      <c r="A7" s="2">
        <v>9311311</v>
      </c>
      <c r="B7" s="3">
        <v>841126</v>
      </c>
      <c r="C7" s="3">
        <v>116</v>
      </c>
      <c r="D7" s="641" t="s">
        <v>1142</v>
      </c>
      <c r="E7" s="639">
        <v>57000</v>
      </c>
    </row>
    <row r="8" spans="1:5" ht="12.75">
      <c r="A8" s="2"/>
      <c r="B8" s="3"/>
      <c r="C8" s="3"/>
      <c r="D8" s="641" t="s">
        <v>1362</v>
      </c>
      <c r="E8" s="639"/>
    </row>
    <row r="9" spans="1:5" ht="12.75">
      <c r="A9" s="2">
        <v>9311314</v>
      </c>
      <c r="B9" s="3">
        <v>841126</v>
      </c>
      <c r="C9" s="402">
        <v>116</v>
      </c>
      <c r="D9" s="641" t="s">
        <v>1143</v>
      </c>
      <c r="E9" s="47">
        <v>9000</v>
      </c>
    </row>
    <row r="10" spans="1:5" ht="12.75">
      <c r="A10" s="2">
        <v>9311312</v>
      </c>
      <c r="B10" s="3">
        <v>841126</v>
      </c>
      <c r="C10" s="402">
        <v>116</v>
      </c>
      <c r="D10" s="641" t="s">
        <v>1144</v>
      </c>
      <c r="E10" s="173">
        <v>26000</v>
      </c>
    </row>
    <row r="11" spans="1:5" ht="12.75">
      <c r="A11" s="2">
        <v>931131</v>
      </c>
      <c r="B11" s="3">
        <v>841126</v>
      </c>
      <c r="C11" s="402">
        <v>116</v>
      </c>
      <c r="D11" s="641" t="s">
        <v>1145</v>
      </c>
      <c r="E11" s="47">
        <v>7000</v>
      </c>
    </row>
    <row r="12" spans="1:5" ht="12.75">
      <c r="A12" s="2"/>
      <c r="B12" s="3"/>
      <c r="C12" s="3"/>
      <c r="D12" s="694" t="s">
        <v>1147</v>
      </c>
      <c r="E12" s="184">
        <f>SUM(E7:E11)</f>
        <v>99000</v>
      </c>
    </row>
    <row r="13" spans="1:5" ht="12.75">
      <c r="A13" s="2"/>
      <c r="B13" s="3"/>
      <c r="C13" s="3"/>
      <c r="D13" s="695"/>
      <c r="E13" s="47"/>
    </row>
    <row r="14" spans="1:5" s="10" customFormat="1" ht="25.5">
      <c r="A14" s="53"/>
      <c r="B14" s="48"/>
      <c r="C14" s="48"/>
      <c r="D14" s="694" t="s">
        <v>445</v>
      </c>
      <c r="E14" s="179"/>
    </row>
    <row r="15" spans="1:5" ht="12.75">
      <c r="A15" s="2">
        <v>19431</v>
      </c>
      <c r="B15" s="3">
        <v>841126</v>
      </c>
      <c r="C15" s="3">
        <v>116</v>
      </c>
      <c r="D15" s="641" t="s">
        <v>1158</v>
      </c>
      <c r="E15" s="173">
        <v>2704</v>
      </c>
    </row>
    <row r="16" spans="1:5" ht="12.75">
      <c r="A16" s="2">
        <v>9321191</v>
      </c>
      <c r="B16" s="3">
        <v>841126</v>
      </c>
      <c r="C16" s="3">
        <v>116</v>
      </c>
      <c r="D16" s="641" t="s">
        <v>1159</v>
      </c>
      <c r="E16" s="173">
        <v>100</v>
      </c>
    </row>
    <row r="17" spans="1:5" ht="12.75">
      <c r="A17" s="2">
        <v>932192</v>
      </c>
      <c r="B17" s="3">
        <v>841126</v>
      </c>
      <c r="C17" s="3">
        <v>116</v>
      </c>
      <c r="D17" s="641" t="s">
        <v>1160</v>
      </c>
      <c r="E17" s="173">
        <v>2000</v>
      </c>
    </row>
    <row r="18" spans="1:5" ht="12.75">
      <c r="A18" s="2">
        <v>9351122</v>
      </c>
      <c r="B18" s="3">
        <v>370000</v>
      </c>
      <c r="C18" s="3">
        <v>138</v>
      </c>
      <c r="D18" s="641" t="s">
        <v>1161</v>
      </c>
      <c r="E18" s="173">
        <v>15000</v>
      </c>
    </row>
    <row r="19" spans="1:5" ht="12.75">
      <c r="A19" s="2">
        <v>919141</v>
      </c>
      <c r="B19" s="3">
        <v>370000</v>
      </c>
      <c r="C19" s="3">
        <v>138</v>
      </c>
      <c r="D19" s="641" t="s">
        <v>1162</v>
      </c>
      <c r="E19" s="173">
        <f>E18*0.27</f>
        <v>4050.0000000000005</v>
      </c>
    </row>
    <row r="20" spans="1:5" ht="12.75">
      <c r="A20" s="2">
        <v>922141</v>
      </c>
      <c r="B20" s="3">
        <v>841133</v>
      </c>
      <c r="C20" s="3">
        <v>116</v>
      </c>
      <c r="D20" s="641" t="s">
        <v>1107</v>
      </c>
      <c r="E20" s="173">
        <v>19700</v>
      </c>
    </row>
    <row r="21" spans="1:5" ht="25.5">
      <c r="A21" s="2"/>
      <c r="B21" s="2"/>
      <c r="C21" s="2"/>
      <c r="D21" s="694" t="s">
        <v>1163</v>
      </c>
      <c r="E21" s="184">
        <f>SUM(E15:E20)</f>
        <v>43554</v>
      </c>
    </row>
    <row r="22" spans="1:5" ht="12.75">
      <c r="A22" s="2"/>
      <c r="B22" s="2"/>
      <c r="C22" s="2"/>
      <c r="D22" s="695"/>
      <c r="E22" s="47"/>
    </row>
    <row r="23" spans="1:5" s="10" customFormat="1" ht="25.5">
      <c r="A23" s="53"/>
      <c r="B23" s="53"/>
      <c r="C23" s="53"/>
      <c r="D23" s="694" t="s">
        <v>304</v>
      </c>
      <c r="E23" s="184"/>
    </row>
    <row r="24" spans="1:5" ht="12.75">
      <c r="A24" s="2"/>
      <c r="B24" s="2"/>
      <c r="C24" s="2"/>
      <c r="D24" s="695"/>
      <c r="E24" s="47"/>
    </row>
    <row r="25" spans="1:5" ht="12.75">
      <c r="A25" s="2"/>
      <c r="B25" s="3">
        <v>841126</v>
      </c>
      <c r="C25" s="3">
        <v>116</v>
      </c>
      <c r="D25" s="641" t="s">
        <v>1242</v>
      </c>
      <c r="E25" s="182">
        <v>75524</v>
      </c>
    </row>
    <row r="26" spans="1:5" ht="12.75">
      <c r="A26" s="2"/>
      <c r="B26" s="3"/>
      <c r="C26" s="3"/>
      <c r="D26" s="641" t="s">
        <v>1243</v>
      </c>
      <c r="E26" s="182">
        <v>2995</v>
      </c>
    </row>
    <row r="27" spans="1:5" ht="12.75">
      <c r="A27" s="2"/>
      <c r="B27" s="3"/>
      <c r="C27" s="3"/>
      <c r="D27" s="641"/>
      <c r="E27" s="47"/>
    </row>
    <row r="28" spans="1:5" ht="12.75">
      <c r="A28" s="2"/>
      <c r="B28" s="3"/>
      <c r="C28" s="3"/>
      <c r="D28" s="641" t="s">
        <v>1244</v>
      </c>
      <c r="E28" s="182">
        <v>491325</v>
      </c>
    </row>
    <row r="29" spans="1:5" ht="25.5">
      <c r="A29" s="2"/>
      <c r="B29" s="3"/>
      <c r="C29" s="3"/>
      <c r="D29" s="641" t="s">
        <v>493</v>
      </c>
      <c r="E29" s="182">
        <v>10984</v>
      </c>
    </row>
    <row r="30" spans="1:5" ht="25.5">
      <c r="A30" s="331">
        <v>46511213</v>
      </c>
      <c r="B30" s="3">
        <v>841126</v>
      </c>
      <c r="C30" s="3">
        <v>116</v>
      </c>
      <c r="D30" s="641" t="s">
        <v>647</v>
      </c>
      <c r="E30" s="173"/>
    </row>
    <row r="31" spans="1:5" ht="12.75">
      <c r="A31" s="2">
        <v>465112113</v>
      </c>
      <c r="B31" s="3">
        <v>841126</v>
      </c>
      <c r="C31" s="3">
        <v>110</v>
      </c>
      <c r="D31" s="641" t="s">
        <v>648</v>
      </c>
      <c r="E31" s="182">
        <v>71229</v>
      </c>
    </row>
    <row r="32" spans="1:5" ht="12.75">
      <c r="A32" s="2">
        <v>465112114</v>
      </c>
      <c r="B32" s="3">
        <v>841126</v>
      </c>
      <c r="C32" s="3">
        <v>110</v>
      </c>
      <c r="D32" s="641" t="s">
        <v>498</v>
      </c>
      <c r="E32" s="182">
        <v>18334</v>
      </c>
    </row>
    <row r="33" spans="1:5" ht="12.75">
      <c r="A33" s="2"/>
      <c r="B33" s="3"/>
      <c r="C33" s="3"/>
      <c r="D33" s="641" t="s">
        <v>499</v>
      </c>
      <c r="E33" s="182">
        <v>1797</v>
      </c>
    </row>
    <row r="34" spans="1:5" ht="12.75">
      <c r="A34" s="2"/>
      <c r="B34" s="3"/>
      <c r="C34" s="3"/>
      <c r="D34" s="641" t="s">
        <v>494</v>
      </c>
      <c r="E34" s="182">
        <v>22514</v>
      </c>
    </row>
    <row r="35" spans="1:5" ht="12.75">
      <c r="A35" s="2"/>
      <c r="B35" s="3"/>
      <c r="C35" s="3"/>
      <c r="D35" s="641" t="s">
        <v>497</v>
      </c>
      <c r="E35" s="182">
        <v>5297</v>
      </c>
    </row>
    <row r="36" spans="1:5" ht="12.75">
      <c r="A36" s="2"/>
      <c r="B36" s="3"/>
      <c r="C36" s="3"/>
      <c r="D36" s="641"/>
      <c r="E36" s="182"/>
    </row>
    <row r="37" spans="1:5" ht="12.75">
      <c r="A37" s="2">
        <v>4651121131</v>
      </c>
      <c r="B37" s="3">
        <v>841126</v>
      </c>
      <c r="C37" s="3">
        <v>116</v>
      </c>
      <c r="D37" s="641" t="s">
        <v>649</v>
      </c>
      <c r="E37" s="173"/>
    </row>
    <row r="38" spans="1:5" ht="12.75">
      <c r="A38" s="2"/>
      <c r="B38" s="3">
        <v>841126</v>
      </c>
      <c r="C38" s="3">
        <v>116</v>
      </c>
      <c r="D38" s="641" t="s">
        <v>412</v>
      </c>
      <c r="E38" s="173"/>
    </row>
    <row r="39" spans="1:5" ht="12.75">
      <c r="A39" s="2"/>
      <c r="B39" s="3"/>
      <c r="C39" s="3"/>
      <c r="D39" s="641"/>
      <c r="E39" s="173"/>
    </row>
    <row r="40" spans="1:5" ht="12.75">
      <c r="A40" s="2"/>
      <c r="B40" s="3"/>
      <c r="C40" s="3"/>
      <c r="D40" s="641" t="s">
        <v>463</v>
      </c>
      <c r="E40" s="173"/>
    </row>
    <row r="41" spans="1:5" ht="12.75">
      <c r="A41" s="2"/>
      <c r="B41" s="3"/>
      <c r="C41" s="3"/>
      <c r="D41" s="641"/>
      <c r="E41" s="173"/>
    </row>
    <row r="42" spans="1:5" ht="12.75">
      <c r="A42" s="2"/>
      <c r="B42" s="3"/>
      <c r="C42" s="3"/>
      <c r="D42" s="14" t="s">
        <v>59</v>
      </c>
      <c r="E42" s="173"/>
    </row>
    <row r="43" spans="1:5" ht="12.75">
      <c r="A43" s="2"/>
      <c r="B43" s="3"/>
      <c r="C43" s="3"/>
      <c r="D43" s="641" t="s">
        <v>58</v>
      </c>
      <c r="E43" s="173"/>
    </row>
    <row r="44" spans="1:5" ht="12.75">
      <c r="A44" s="2"/>
      <c r="B44" s="3"/>
      <c r="C44" s="3"/>
      <c r="D44" s="641"/>
      <c r="E44" s="173"/>
    </row>
    <row r="45" spans="1:5" ht="25.5">
      <c r="A45" s="2">
        <v>4651121133</v>
      </c>
      <c r="B45" s="3">
        <v>841126</v>
      </c>
      <c r="C45" s="3">
        <v>116</v>
      </c>
      <c r="D45" s="641" t="s">
        <v>650</v>
      </c>
      <c r="E45" s="47"/>
    </row>
    <row r="46" spans="1:5" ht="25.5">
      <c r="A46" s="2"/>
      <c r="B46" s="3"/>
      <c r="C46" s="3"/>
      <c r="D46" s="694" t="s">
        <v>651</v>
      </c>
      <c r="E46" s="184">
        <f>SUM(E25:E45)</f>
        <v>699999</v>
      </c>
    </row>
    <row r="47" spans="1:5" ht="12.75">
      <c r="A47" s="2"/>
      <c r="B47" s="3"/>
      <c r="C47" s="3"/>
      <c r="D47" s="695"/>
      <c r="E47" s="47"/>
    </row>
    <row r="48" spans="1:5" ht="25.5">
      <c r="A48" s="2"/>
      <c r="B48" s="3"/>
      <c r="C48" s="3"/>
      <c r="D48" s="694" t="s">
        <v>652</v>
      </c>
      <c r="E48" s="47"/>
    </row>
    <row r="49" spans="1:5" ht="12.75">
      <c r="A49" s="3">
        <v>472131</v>
      </c>
      <c r="B49" s="3">
        <v>841126</v>
      </c>
      <c r="C49" s="3">
        <v>116</v>
      </c>
      <c r="D49" s="406" t="s">
        <v>1175</v>
      </c>
      <c r="E49" s="309"/>
    </row>
    <row r="50" spans="1:5" ht="12.75">
      <c r="A50" s="3"/>
      <c r="B50" s="3"/>
      <c r="C50" s="3"/>
      <c r="D50" s="14" t="s">
        <v>60</v>
      </c>
      <c r="E50" s="309"/>
    </row>
    <row r="51" spans="1:5" ht="38.25">
      <c r="A51" s="3">
        <v>472132</v>
      </c>
      <c r="B51" s="3">
        <v>841126</v>
      </c>
      <c r="C51" s="3">
        <v>116</v>
      </c>
      <c r="D51" s="406" t="s">
        <v>1308</v>
      </c>
      <c r="E51" s="161"/>
    </row>
    <row r="52" spans="1:5" ht="25.5">
      <c r="A52" s="3"/>
      <c r="B52" s="3"/>
      <c r="C52" s="3"/>
      <c r="D52" s="694" t="s">
        <v>1309</v>
      </c>
      <c r="E52" s="160">
        <f>SUM(E49:E51)</f>
        <v>0</v>
      </c>
    </row>
    <row r="53" spans="1:5" ht="12.75">
      <c r="A53" s="3"/>
      <c r="B53" s="3"/>
      <c r="C53" s="3"/>
      <c r="D53" s="256"/>
      <c r="E53" s="174"/>
    </row>
    <row r="54" spans="1:5" ht="12.75">
      <c r="A54" s="3"/>
      <c r="B54" s="3"/>
      <c r="C54" s="3"/>
      <c r="D54" s="696" t="s">
        <v>1312</v>
      </c>
      <c r="E54" s="160">
        <v>0</v>
      </c>
    </row>
    <row r="55" spans="1:5" ht="12.75">
      <c r="A55" s="3"/>
      <c r="B55" s="3"/>
      <c r="C55" s="3"/>
      <c r="D55" s="697"/>
      <c r="E55" s="174"/>
    </row>
    <row r="56" spans="1:5" ht="25.5">
      <c r="A56" s="3"/>
      <c r="B56" s="3"/>
      <c r="C56" s="3"/>
      <c r="D56" s="696" t="s">
        <v>1347</v>
      </c>
      <c r="E56" s="160">
        <v>9535</v>
      </c>
    </row>
    <row r="57" spans="1:5" ht="12.75">
      <c r="A57" s="3"/>
      <c r="B57" s="3"/>
      <c r="C57" s="3"/>
      <c r="D57" s="697"/>
      <c r="E57" s="174"/>
    </row>
    <row r="58" spans="1:5" ht="12.75">
      <c r="A58" s="3"/>
      <c r="B58" s="5"/>
      <c r="C58" s="5"/>
      <c r="D58" s="695"/>
      <c r="E58" s="47"/>
    </row>
    <row r="59" spans="1:5" ht="12.75">
      <c r="A59" s="3"/>
      <c r="B59" s="5"/>
      <c r="C59" s="5"/>
      <c r="D59" s="694" t="s">
        <v>1348</v>
      </c>
      <c r="E59" s="47"/>
    </row>
    <row r="60" spans="1:5" ht="12.75">
      <c r="A60" s="3"/>
      <c r="B60" s="5"/>
      <c r="C60" s="5"/>
      <c r="D60" s="695"/>
      <c r="E60" s="47"/>
    </row>
    <row r="61" spans="1:5" ht="12.75">
      <c r="A61" s="3"/>
      <c r="B61" s="5"/>
      <c r="C61" s="5"/>
      <c r="D61" s="641" t="s">
        <v>413</v>
      </c>
      <c r="E61" s="173">
        <v>0</v>
      </c>
    </row>
    <row r="62" spans="1:5" ht="12.75">
      <c r="A62" s="3"/>
      <c r="B62" s="5"/>
      <c r="C62" s="5"/>
      <c r="D62" s="641"/>
      <c r="E62" s="47"/>
    </row>
    <row r="63" spans="1:5" ht="12.75">
      <c r="A63" s="3"/>
      <c r="B63" s="5"/>
      <c r="C63" s="5"/>
      <c r="D63" s="641"/>
      <c r="E63" s="47"/>
    </row>
    <row r="64" spans="1:5" ht="12.75">
      <c r="A64" s="2"/>
      <c r="B64" s="2"/>
      <c r="C64" s="2"/>
      <c r="D64" s="694" t="s">
        <v>1349</v>
      </c>
      <c r="E64" s="184">
        <f>E61+E62+E63</f>
        <v>0</v>
      </c>
    </row>
    <row r="65" spans="1:5" ht="12.75">
      <c r="A65" s="2"/>
      <c r="B65" s="2"/>
      <c r="C65" s="2"/>
      <c r="D65" s="695"/>
      <c r="E65" s="47"/>
    </row>
    <row r="66" spans="1:5" ht="36">
      <c r="A66" s="2"/>
      <c r="B66" s="2"/>
      <c r="C66" s="2"/>
      <c r="D66" s="372" t="s">
        <v>305</v>
      </c>
      <c r="E66" s="220">
        <f>+E64+E56+E54+E52+E46+E21+E12</f>
        <v>852088</v>
      </c>
    </row>
    <row r="67" ht="12.75">
      <c r="E67" s="333"/>
    </row>
    <row r="68" ht="12.75">
      <c r="E68" s="333"/>
    </row>
    <row r="69" ht="12.75">
      <c r="E69" s="333"/>
    </row>
    <row r="70" ht="12.75">
      <c r="E70" s="333"/>
    </row>
    <row r="71" ht="12.75">
      <c r="E71" s="333"/>
    </row>
    <row r="72" ht="12.75">
      <c r="E72" s="333"/>
    </row>
    <row r="73" ht="12.75">
      <c r="E73" s="333"/>
    </row>
    <row r="74" ht="12.75">
      <c r="E74" s="333"/>
    </row>
    <row r="75" ht="12.75">
      <c r="E75" s="333"/>
    </row>
    <row r="76" ht="12.75">
      <c r="E76" s="333"/>
    </row>
    <row r="77" ht="12.75">
      <c r="E77" s="333"/>
    </row>
    <row r="78" ht="12.75">
      <c r="E78" s="333"/>
    </row>
    <row r="79" ht="12.75">
      <c r="E79" s="333"/>
    </row>
    <row r="80" ht="12.75">
      <c r="E80" s="333"/>
    </row>
    <row r="81" ht="12.75">
      <c r="E81" s="333"/>
    </row>
    <row r="82" ht="12.75">
      <c r="E82" s="333"/>
    </row>
    <row r="83" ht="12.75">
      <c r="E83" s="333"/>
    </row>
    <row r="84" ht="12.75">
      <c r="E84" s="333"/>
    </row>
    <row r="85" ht="12.75">
      <c r="E85" s="333"/>
    </row>
    <row r="86" ht="12.75">
      <c r="E86" s="333"/>
    </row>
    <row r="87" ht="12.75">
      <c r="E87" s="333"/>
    </row>
    <row r="88" ht="12.75">
      <c r="E88" s="333"/>
    </row>
    <row r="89" ht="12.75">
      <c r="E89" s="333"/>
    </row>
    <row r="90" ht="12.75">
      <c r="E90" s="333"/>
    </row>
    <row r="91" ht="12.75">
      <c r="E91" s="333"/>
    </row>
    <row r="92" ht="12.75">
      <c r="E92" s="333"/>
    </row>
    <row r="93" ht="12.75">
      <c r="E93" s="333"/>
    </row>
    <row r="94" ht="12.75">
      <c r="E94" s="333"/>
    </row>
    <row r="95" ht="12.75">
      <c r="E95" s="333"/>
    </row>
  </sheetData>
  <sheetProtection/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36"/>
  <sheetViews>
    <sheetView view="pageBreakPreview" zoomScaleSheetLayoutView="100" zoomScalePageLayoutView="0" workbookViewId="0" topLeftCell="A7">
      <selection activeCell="C24" sqref="C24"/>
    </sheetView>
  </sheetViews>
  <sheetFormatPr defaultColWidth="9.140625" defaultRowHeight="12.75"/>
  <cols>
    <col min="1" max="1" width="41.8515625" style="0" customWidth="1"/>
    <col min="2" max="2" width="15.140625" style="0" customWidth="1"/>
    <col min="3" max="3" width="15.57421875" style="0" customWidth="1"/>
    <col min="4" max="4" width="18.57421875" style="8" customWidth="1"/>
  </cols>
  <sheetData>
    <row r="1" spans="1:3" ht="12.75">
      <c r="A1" s="25"/>
      <c r="B1" s="1162" t="s">
        <v>1169</v>
      </c>
      <c r="C1" s="1162"/>
    </row>
    <row r="2" spans="1:3" ht="12.75">
      <c r="A2" s="25"/>
      <c r="B2" s="25"/>
      <c r="C2" s="25"/>
    </row>
    <row r="3" spans="1:3" ht="12.75">
      <c r="A3" s="1133" t="s">
        <v>1518</v>
      </c>
      <c r="B3" s="1133"/>
      <c r="C3" s="1133"/>
    </row>
    <row r="4" spans="1:3" ht="12.75">
      <c r="A4" s="211"/>
      <c r="B4" s="211"/>
      <c r="C4" s="211"/>
    </row>
    <row r="5" spans="1:3" ht="12.75">
      <c r="A5" s="211"/>
      <c r="B5" s="211"/>
      <c r="C5" s="211"/>
    </row>
    <row r="6" spans="1:3" ht="12.75">
      <c r="A6" s="211"/>
      <c r="B6" s="211"/>
      <c r="C6" s="211"/>
    </row>
    <row r="7" spans="1:4" ht="18" customHeight="1">
      <c r="A7" s="1163" t="s">
        <v>886</v>
      </c>
      <c r="B7" s="1163"/>
      <c r="C7" s="362"/>
      <c r="D7" s="362"/>
    </row>
    <row r="8" spans="1:4" ht="34.5" customHeight="1">
      <c r="A8" s="1163"/>
      <c r="B8" s="1163"/>
      <c r="C8" s="362"/>
      <c r="D8" s="362"/>
    </row>
    <row r="9" spans="1:3" ht="18">
      <c r="A9" s="36"/>
      <c r="B9" s="36"/>
      <c r="C9" s="36"/>
    </row>
    <row r="10" spans="2:3" ht="12.75">
      <c r="B10" s="1162" t="s">
        <v>161</v>
      </c>
      <c r="C10" s="1162"/>
    </row>
    <row r="11" spans="1:4" ht="15.75">
      <c r="A11" s="37" t="s">
        <v>1037</v>
      </c>
      <c r="B11" s="144" t="s">
        <v>279</v>
      </c>
      <c r="C11" s="37" t="s">
        <v>280</v>
      </c>
      <c r="D11" s="1182"/>
    </row>
    <row r="12" spans="1:4" ht="12.75">
      <c r="A12" s="1185" t="s">
        <v>281</v>
      </c>
      <c r="B12" s="1185"/>
      <c r="C12" s="1185"/>
      <c r="D12" s="1183"/>
    </row>
    <row r="13" spans="1:3" ht="12.75">
      <c r="A13" s="145" t="s">
        <v>282</v>
      </c>
      <c r="B13" s="7">
        <f>'882111-Munkanélküli ellátások'!E25</f>
        <v>6156</v>
      </c>
      <c r="C13" s="7">
        <f aca="true" t="shared" si="0" ref="C13:C18">B13</f>
        <v>6156</v>
      </c>
    </row>
    <row r="14" spans="1:3" ht="12.75">
      <c r="A14" s="275" t="s">
        <v>349</v>
      </c>
      <c r="B14" s="7">
        <f>'882111-Munkanélküli ellátások'!E27</f>
        <v>82080</v>
      </c>
      <c r="C14" s="7">
        <f t="shared" si="0"/>
        <v>82080</v>
      </c>
    </row>
    <row r="15" spans="1:3" ht="12.75">
      <c r="A15" s="145" t="s">
        <v>899</v>
      </c>
      <c r="B15" s="7">
        <f>'882117-Rendsz.gyv.pénz.ell.'!E27</f>
        <v>5800</v>
      </c>
      <c r="C15" s="7">
        <f t="shared" si="0"/>
        <v>5800</v>
      </c>
    </row>
    <row r="16" spans="1:3" ht="12.75">
      <c r="A16" s="145" t="s">
        <v>283</v>
      </c>
      <c r="B16" s="7">
        <f>'-Rendsz.szoc.pénz.ell.'!E22</f>
        <v>18000</v>
      </c>
      <c r="C16" s="7">
        <f t="shared" si="0"/>
        <v>18000</v>
      </c>
    </row>
    <row r="17" spans="1:3" ht="12.75">
      <c r="A17" s="145" t="s">
        <v>285</v>
      </c>
      <c r="B17" s="39">
        <f>'882129-Öregek ebédje'!E27</f>
        <v>100</v>
      </c>
      <c r="C17" s="7">
        <f t="shared" si="0"/>
        <v>100</v>
      </c>
    </row>
    <row r="18" spans="1:3" ht="12.75">
      <c r="A18" s="145" t="s">
        <v>284</v>
      </c>
      <c r="B18" s="7">
        <f>'-Rendsz.szoc.pénz.ell.'!E25</f>
        <v>1888</v>
      </c>
      <c r="C18" s="7">
        <f t="shared" si="0"/>
        <v>1888</v>
      </c>
    </row>
    <row r="19" spans="1:4" s="10" customFormat="1" ht="12.75">
      <c r="A19" s="46" t="s">
        <v>898</v>
      </c>
      <c r="B19" s="35">
        <f>SUM(B13:B17)</f>
        <v>112136</v>
      </c>
      <c r="C19" s="35">
        <f>SUM(C13:C17)</f>
        <v>112136</v>
      </c>
      <c r="D19" s="11"/>
    </row>
    <row r="20" spans="1:3" ht="12.75">
      <c r="A20" s="1131"/>
      <c r="B20" s="1131"/>
      <c r="C20" s="1131"/>
    </row>
    <row r="21" spans="1:3" ht="12.75" hidden="1">
      <c r="A21" s="1185" t="s">
        <v>286</v>
      </c>
      <c r="B21" s="1185"/>
      <c r="C21" s="1185"/>
    </row>
    <row r="22" spans="1:5" s="10" customFormat="1" ht="12.75" hidden="1">
      <c r="A22" s="213" t="s">
        <v>1217</v>
      </c>
      <c r="B22" s="49" t="e">
        <f>'-Rendsz.szoc.pénz.ell.'!#REF!</f>
        <v>#REF!</v>
      </c>
      <c r="C22" s="35"/>
      <c r="D22" s="11"/>
      <c r="E22" s="11"/>
    </row>
    <row r="23" spans="1:3" ht="12.75">
      <c r="A23" s="1184" t="s">
        <v>286</v>
      </c>
      <c r="B23" s="1184"/>
      <c r="C23" s="1184"/>
    </row>
    <row r="24" spans="1:5" s="10" customFormat="1" ht="12.75">
      <c r="A24" s="213" t="s">
        <v>1217</v>
      </c>
      <c r="B24" s="49">
        <f>B18*0.24</f>
        <v>453.12</v>
      </c>
      <c r="C24" s="35">
        <f>B24</f>
        <v>453.12</v>
      </c>
      <c r="D24" s="11"/>
      <c r="E24" s="11"/>
    </row>
    <row r="25" spans="1:3" ht="12.75">
      <c r="A25" s="5"/>
      <c r="B25" s="5"/>
      <c r="C25" s="5"/>
    </row>
    <row r="26" spans="1:4" ht="12" customHeight="1">
      <c r="A26" s="1185" t="s">
        <v>287</v>
      </c>
      <c r="B26" s="1185"/>
      <c r="C26" s="1185"/>
      <c r="D26" s="360"/>
    </row>
    <row r="27" spans="1:3" ht="12" customHeight="1">
      <c r="A27" s="275" t="s">
        <v>926</v>
      </c>
      <c r="B27" s="572">
        <f>+'882119 - Óvodáztatási támogatás'!E6</f>
        <v>400</v>
      </c>
      <c r="C27" s="572">
        <f aca="true" t="shared" si="1" ref="C27:C32">B27</f>
        <v>400</v>
      </c>
    </row>
    <row r="28" spans="1:3" ht="12" customHeight="1">
      <c r="A28" s="145" t="s">
        <v>288</v>
      </c>
      <c r="B28" s="7">
        <f>'882124-Eseti pénz.gyv.ell'!E27</f>
        <v>3600</v>
      </c>
      <c r="C28" s="572">
        <f t="shared" si="1"/>
        <v>3600</v>
      </c>
    </row>
    <row r="29" spans="1:3" ht="12" customHeight="1">
      <c r="A29" s="145" t="s">
        <v>1102</v>
      </c>
      <c r="B29" s="39">
        <f>'-Eseti pénz.szoc.ell.'!E40</f>
        <v>2450</v>
      </c>
      <c r="C29" s="572">
        <f t="shared" si="1"/>
        <v>2450</v>
      </c>
    </row>
    <row r="30" spans="1:3" ht="12" customHeight="1">
      <c r="A30" s="145" t="s">
        <v>1510</v>
      </c>
      <c r="B30" s="7">
        <f>'-Eseti pénz.szoc.ell.'!E30</f>
        <v>3006</v>
      </c>
      <c r="C30" s="572">
        <f t="shared" si="1"/>
        <v>3006</v>
      </c>
    </row>
    <row r="31" spans="1:3" ht="12" customHeight="1">
      <c r="A31" s="145" t="s">
        <v>977</v>
      </c>
      <c r="B31" s="7">
        <f>'-Eseti pénz.szoc.ell.'!E34</f>
        <v>750</v>
      </c>
      <c r="C31" s="572">
        <f t="shared" si="1"/>
        <v>750</v>
      </c>
    </row>
    <row r="32" spans="1:3" ht="12" customHeight="1">
      <c r="A32" s="145" t="s">
        <v>1338</v>
      </c>
      <c r="B32" s="7">
        <f>'-Eseti pénz.szoc.ell.'!E36</f>
        <v>400</v>
      </c>
      <c r="C32" s="572">
        <f t="shared" si="1"/>
        <v>400</v>
      </c>
    </row>
    <row r="33" spans="1:4" s="10" customFormat="1" ht="12.75">
      <c r="A33" s="46" t="s">
        <v>289</v>
      </c>
      <c r="B33" s="35">
        <f>SUM(B27:B31)</f>
        <v>10206</v>
      </c>
      <c r="C33" s="35">
        <f>SUM(C27:C31)</f>
        <v>10206</v>
      </c>
      <c r="D33" s="11"/>
    </row>
    <row r="34" spans="1:4" s="10" customFormat="1" ht="12.75">
      <c r="A34" s="46"/>
      <c r="B34" s="35"/>
      <c r="C34" s="35"/>
      <c r="D34" s="361"/>
    </row>
    <row r="35" spans="1:3" ht="12.75">
      <c r="A35" s="1131"/>
      <c r="B35" s="1131"/>
      <c r="C35" s="1131"/>
    </row>
    <row r="36" spans="1:3" ht="31.5" customHeight="1">
      <c r="A36" s="359" t="s">
        <v>290</v>
      </c>
      <c r="B36" s="155">
        <f>B19+B33</f>
        <v>122342</v>
      </c>
      <c r="C36" s="155">
        <f>C19+C33</f>
        <v>122342</v>
      </c>
    </row>
  </sheetData>
  <sheetProtection/>
  <mergeCells count="11">
    <mergeCell ref="B1:C1"/>
    <mergeCell ref="A12:C12"/>
    <mergeCell ref="A20:C20"/>
    <mergeCell ref="B10:C10"/>
    <mergeCell ref="A3:C3"/>
    <mergeCell ref="D11:D12"/>
    <mergeCell ref="A7:B8"/>
    <mergeCell ref="A23:C23"/>
    <mergeCell ref="A26:C26"/>
    <mergeCell ref="A21:C21"/>
    <mergeCell ref="A35:C3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E41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7109375" style="0" customWidth="1"/>
    <col min="2" max="2" width="65.140625" style="0" bestFit="1" customWidth="1"/>
    <col min="3" max="3" width="15.8515625" style="0" customWidth="1"/>
    <col min="4" max="4" width="16.7109375" style="0" customWidth="1"/>
    <col min="5" max="5" width="15.00390625" style="0" customWidth="1"/>
    <col min="6" max="6" width="23.7109375" style="0" customWidth="1"/>
  </cols>
  <sheetData>
    <row r="1" spans="1:5" ht="12.75">
      <c r="A1" s="25"/>
      <c r="B1" s="25"/>
      <c r="C1" s="1171" t="s">
        <v>1548</v>
      </c>
      <c r="D1" s="1162"/>
      <c r="E1" s="212"/>
    </row>
    <row r="2" spans="1:5" ht="12.75">
      <c r="A2" s="25"/>
      <c r="B2" s="25"/>
      <c r="C2" s="25"/>
      <c r="D2" s="25"/>
      <c r="E2" s="10"/>
    </row>
    <row r="3" spans="1:5" ht="12.75">
      <c r="A3" s="1133" t="s">
        <v>1518</v>
      </c>
      <c r="B3" s="1133"/>
      <c r="C3" s="1133"/>
      <c r="D3" s="1133"/>
      <c r="E3" s="32"/>
    </row>
    <row r="4" spans="1:5" ht="12.75">
      <c r="A4" s="211"/>
      <c r="B4" s="211"/>
      <c r="C4" s="211"/>
      <c r="D4" s="211"/>
      <c r="E4" s="211"/>
    </row>
    <row r="5" spans="1:5" ht="12.75">
      <c r="A5" s="211"/>
      <c r="B5" s="211"/>
      <c r="C5" s="211"/>
      <c r="D5" s="211"/>
      <c r="E5" s="211"/>
    </row>
    <row r="6" spans="1:5" ht="12.75">
      <c r="A6" s="211"/>
      <c r="B6" s="211"/>
      <c r="C6" s="211"/>
      <c r="D6" s="211"/>
      <c r="E6" s="211"/>
    </row>
    <row r="7" spans="1:5" ht="18">
      <c r="A7" s="1186" t="s">
        <v>291</v>
      </c>
      <c r="B7" s="1186"/>
      <c r="C7" s="1186"/>
      <c r="D7" s="1186"/>
      <c r="E7" s="143"/>
    </row>
    <row r="8" spans="1:5" ht="18">
      <c r="A8" s="1186" t="s">
        <v>1519</v>
      </c>
      <c r="B8" s="1186"/>
      <c r="C8" s="1186"/>
      <c r="D8" s="1186"/>
      <c r="E8" s="143"/>
    </row>
    <row r="9" spans="1:5" ht="18">
      <c r="A9" s="36"/>
      <c r="B9" s="36"/>
      <c r="C9" s="36"/>
      <c r="D9" s="36"/>
      <c r="E9" s="143"/>
    </row>
    <row r="10" spans="3:4" ht="12.75">
      <c r="C10" s="1162" t="s">
        <v>161</v>
      </c>
      <c r="D10" s="1162"/>
    </row>
    <row r="11" spans="2:4" ht="15.75">
      <c r="B11" s="37" t="s">
        <v>1037</v>
      </c>
      <c r="C11" s="144" t="s">
        <v>279</v>
      </c>
      <c r="D11" s="37" t="s">
        <v>280</v>
      </c>
    </row>
    <row r="12" spans="2:4" ht="12.75">
      <c r="B12" s="145" t="s">
        <v>292</v>
      </c>
      <c r="C12" s="39">
        <f>'841126-116-Önk. igazgatás'!E81</f>
        <v>527</v>
      </c>
      <c r="D12" s="7">
        <f aca="true" t="shared" si="0" ref="D12:D17">C12</f>
        <v>527</v>
      </c>
    </row>
    <row r="13" spans="2:4" ht="12.75">
      <c r="B13" s="145" t="s">
        <v>293</v>
      </c>
      <c r="C13" s="39">
        <f>'841126-116-Önk. igazgatás'!E82</f>
        <v>10247</v>
      </c>
      <c r="D13" s="7">
        <f>C13-3940</f>
        <v>6307</v>
      </c>
    </row>
    <row r="14" spans="2:4" ht="12.75">
      <c r="B14" s="145" t="s">
        <v>339</v>
      </c>
      <c r="C14" s="7">
        <f>'841126-116-Önk. igazgatás'!E83</f>
        <v>268</v>
      </c>
      <c r="D14" s="7">
        <f t="shared" si="0"/>
        <v>268</v>
      </c>
    </row>
    <row r="15" spans="2:4" ht="12.75">
      <c r="B15" s="145" t="s">
        <v>294</v>
      </c>
      <c r="C15" s="7">
        <f>'841126-116-Önk. igazgatás'!E79</f>
        <v>0</v>
      </c>
      <c r="D15" s="7">
        <f t="shared" si="0"/>
        <v>0</v>
      </c>
    </row>
    <row r="16" spans="2:4" ht="12.75">
      <c r="B16" s="149" t="s">
        <v>157</v>
      </c>
      <c r="C16" s="7">
        <f>'841126-116-Önk. igazgatás'!E80</f>
        <v>0</v>
      </c>
      <c r="D16" s="7">
        <f t="shared" si="0"/>
        <v>0</v>
      </c>
    </row>
    <row r="17" spans="2:4" ht="12.75">
      <c r="B17" s="145" t="s">
        <v>1025</v>
      </c>
      <c r="C17" s="7">
        <f>'841126-116-Önk. igazgatás'!E77</f>
        <v>1300</v>
      </c>
      <c r="D17" s="7">
        <f t="shared" si="0"/>
        <v>1300</v>
      </c>
    </row>
    <row r="18" spans="2:4" s="10" customFormat="1" ht="12.75">
      <c r="B18" s="213" t="s">
        <v>295</v>
      </c>
      <c r="C18" s="35">
        <f>SUM(C12:C17)</f>
        <v>12342</v>
      </c>
      <c r="D18" s="35">
        <f>SUM(D12:D17)</f>
        <v>8402</v>
      </c>
    </row>
    <row r="19" spans="2:4" ht="12.75">
      <c r="B19" s="275" t="s">
        <v>1290</v>
      </c>
      <c r="C19" s="7">
        <f>'841126-116-Önk. igazgatás'!E89</f>
        <v>4000</v>
      </c>
      <c r="D19" s="7">
        <f>C19</f>
        <v>4000</v>
      </c>
    </row>
    <row r="20" spans="2:4" ht="12.75">
      <c r="B20" s="275" t="s">
        <v>1291</v>
      </c>
      <c r="C20" s="7">
        <f>'841126-116-Önk. igazgatás'!E90</f>
        <v>1000</v>
      </c>
      <c r="D20" s="7">
        <f aca="true" t="shared" si="1" ref="D20:D37">C20</f>
        <v>1000</v>
      </c>
    </row>
    <row r="21" spans="2:4" ht="12.75">
      <c r="B21" s="275" t="s">
        <v>1292</v>
      </c>
      <c r="C21" s="7">
        <f>'841126-116-Önk. igazgatás'!E91</f>
        <v>1000</v>
      </c>
      <c r="D21" s="7">
        <f t="shared" si="1"/>
        <v>1000</v>
      </c>
    </row>
    <row r="22" spans="2:4" ht="12.75">
      <c r="B22" s="149" t="s">
        <v>227</v>
      </c>
      <c r="C22" s="15">
        <f>'841126-116-Önk. igazgatás'!E93</f>
        <v>100</v>
      </c>
      <c r="D22" s="7">
        <f t="shared" si="1"/>
        <v>100</v>
      </c>
    </row>
    <row r="23" spans="2:4" ht="12.75">
      <c r="B23" s="149" t="s">
        <v>228</v>
      </c>
      <c r="C23" s="15">
        <f>'841126-116-Önk. igazgatás'!E94</f>
        <v>100</v>
      </c>
      <c r="D23" s="7">
        <f t="shared" si="1"/>
        <v>100</v>
      </c>
    </row>
    <row r="24" spans="2:4" ht="12.75">
      <c r="B24" s="149" t="s">
        <v>154</v>
      </c>
      <c r="C24" s="15">
        <f>'841126-116-Önk. igazgatás'!E95</f>
        <v>100</v>
      </c>
      <c r="D24" s="7">
        <f t="shared" si="1"/>
        <v>100</v>
      </c>
    </row>
    <row r="25" spans="2:4" ht="12.75">
      <c r="B25" s="149" t="s">
        <v>155</v>
      </c>
      <c r="C25" s="15">
        <f>'841126-116-Önk. igazgatás'!E96</f>
        <v>100</v>
      </c>
      <c r="D25" s="7">
        <f t="shared" si="1"/>
        <v>100</v>
      </c>
    </row>
    <row r="26" spans="2:4" ht="12.75">
      <c r="B26" s="149" t="s">
        <v>156</v>
      </c>
      <c r="C26" s="15">
        <f>'841126-116-Önk. igazgatás'!E97</f>
        <v>100</v>
      </c>
      <c r="D26" s="7">
        <f t="shared" si="1"/>
        <v>100</v>
      </c>
    </row>
    <row r="27" spans="2:4" ht="12.75">
      <c r="B27" s="149" t="s">
        <v>224</v>
      </c>
      <c r="C27" s="15">
        <f>'841126-116-Önk. igazgatás'!E99</f>
        <v>500</v>
      </c>
      <c r="D27" s="7">
        <f t="shared" si="1"/>
        <v>500</v>
      </c>
    </row>
    <row r="28" spans="2:4" ht="12.75">
      <c r="B28" s="149" t="s">
        <v>1168</v>
      </c>
      <c r="C28" s="15">
        <f>'841126-116-Önk. igazgatás'!E100</f>
        <v>0</v>
      </c>
      <c r="D28" s="7">
        <f t="shared" si="1"/>
        <v>0</v>
      </c>
    </row>
    <row r="29" spans="2:4" ht="12.75">
      <c r="B29" s="145" t="s">
        <v>976</v>
      </c>
      <c r="C29" s="15">
        <f>'841126-116-Önk. igazgatás'!E101</f>
        <v>600</v>
      </c>
      <c r="D29" s="7">
        <f t="shared" si="1"/>
        <v>600</v>
      </c>
    </row>
    <row r="30" spans="2:4" ht="12.75">
      <c r="B30" s="149" t="s">
        <v>780</v>
      </c>
      <c r="C30" s="15">
        <f>'841126-116-Önk. igazgatás'!E102</f>
        <v>60</v>
      </c>
      <c r="D30" s="7">
        <f t="shared" si="1"/>
        <v>60</v>
      </c>
    </row>
    <row r="31" spans="2:4" ht="12.75">
      <c r="B31" s="275" t="s">
        <v>48</v>
      </c>
      <c r="C31" s="15">
        <f>'841126-116-Önk. igazgatás'!E104</f>
        <v>10</v>
      </c>
      <c r="D31" s="7">
        <f t="shared" si="1"/>
        <v>10</v>
      </c>
    </row>
    <row r="32" spans="2:4" ht="12.75">
      <c r="B32" s="275" t="s">
        <v>476</v>
      </c>
      <c r="C32" s="15">
        <f>'841126-116-Önk. igazgatás'!E103</f>
        <v>0</v>
      </c>
      <c r="D32" s="7">
        <f t="shared" si="1"/>
        <v>0</v>
      </c>
    </row>
    <row r="33" spans="2:4" ht="25.5">
      <c r="B33" s="406" t="s">
        <v>341</v>
      </c>
      <c r="C33" s="15">
        <f>'841126-116-Önk. igazgatás'!E106</f>
        <v>10000</v>
      </c>
      <c r="D33" s="7">
        <f t="shared" si="1"/>
        <v>10000</v>
      </c>
    </row>
    <row r="34" spans="2:4" ht="12.75">
      <c r="B34" s="406" t="s">
        <v>509</v>
      </c>
      <c r="C34" s="15">
        <f>'841126-116-Önk. igazgatás'!E105</f>
        <v>0</v>
      </c>
      <c r="D34" s="7">
        <f t="shared" si="1"/>
        <v>0</v>
      </c>
    </row>
    <row r="35" spans="2:4" ht="12.75">
      <c r="B35" s="406" t="s">
        <v>404</v>
      </c>
      <c r="C35" s="15">
        <v>0</v>
      </c>
      <c r="D35" s="7">
        <f t="shared" si="1"/>
        <v>0</v>
      </c>
    </row>
    <row r="36" spans="2:4" ht="12.75">
      <c r="B36" s="637" t="s">
        <v>653</v>
      </c>
      <c r="C36" s="15">
        <f>'841126-116-Önk. igazgatás'!E108</f>
        <v>2941</v>
      </c>
      <c r="D36" s="7">
        <f>C36+3452+4676</f>
        <v>11069</v>
      </c>
    </row>
    <row r="37" spans="2:4" ht="12.75">
      <c r="B37" s="637" t="s">
        <v>607</v>
      </c>
      <c r="C37" s="15">
        <v>54000</v>
      </c>
      <c r="D37" s="7">
        <f t="shared" si="1"/>
        <v>54000</v>
      </c>
    </row>
    <row r="38" spans="2:4" ht="12.75">
      <c r="B38" s="637" t="s">
        <v>881</v>
      </c>
      <c r="C38" s="15">
        <f>'841126-116-Önk. igazgatás'!E110</f>
        <v>15000</v>
      </c>
      <c r="D38" s="7">
        <f>C38-8444-6556</f>
        <v>0</v>
      </c>
    </row>
    <row r="39" spans="2:4" ht="12.75">
      <c r="B39" s="637" t="s">
        <v>1541</v>
      </c>
      <c r="C39" s="15">
        <v>0</v>
      </c>
      <c r="D39" s="7">
        <v>200</v>
      </c>
    </row>
    <row r="40" spans="2:4" ht="12.75">
      <c r="B40" s="213" t="s">
        <v>296</v>
      </c>
      <c r="C40" s="35">
        <f>SUM(C19:C39)</f>
        <v>89611</v>
      </c>
      <c r="D40" s="35">
        <f>SUM(D19:D39)</f>
        <v>82939</v>
      </c>
    </row>
    <row r="41" spans="2:4" s="30" customFormat="1" ht="15.75">
      <c r="B41" s="38" t="s">
        <v>297</v>
      </c>
      <c r="C41" s="155">
        <f>C18+C40</f>
        <v>101953</v>
      </c>
      <c r="D41" s="155">
        <f>D18+D40</f>
        <v>91341</v>
      </c>
    </row>
  </sheetData>
  <sheetProtection/>
  <mergeCells count="5">
    <mergeCell ref="C10:D10"/>
    <mergeCell ref="A7:D7"/>
    <mergeCell ref="A8:D8"/>
    <mergeCell ref="C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9.57421875" style="0" customWidth="1"/>
    <col min="4" max="4" width="9.00390625" style="0" customWidth="1"/>
    <col min="5" max="5" width="9.8515625" style="0" customWidth="1"/>
    <col min="6" max="6" width="9.57421875" style="0" customWidth="1"/>
  </cols>
  <sheetData>
    <row r="1" spans="1:13" ht="12.75">
      <c r="A1" s="1187" t="s">
        <v>255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</row>
    <row r="2" spans="9:12" ht="12.75">
      <c r="I2" s="27"/>
      <c r="J2" s="27"/>
      <c r="K2" s="27"/>
      <c r="L2" s="27"/>
    </row>
    <row r="3" spans="9:12" ht="12.75">
      <c r="I3" s="27"/>
      <c r="J3" s="27"/>
      <c r="K3" s="27"/>
      <c r="L3" s="27"/>
    </row>
    <row r="4" spans="1:13" ht="12.75">
      <c r="A4" s="1133" t="s">
        <v>887</v>
      </c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</row>
    <row r="5" spans="1:12" ht="12.75">
      <c r="A5" s="20"/>
      <c r="B5" s="20"/>
      <c r="C5" s="20"/>
      <c r="D5" s="20"/>
      <c r="E5" s="20"/>
      <c r="F5" s="20"/>
      <c r="G5" s="32"/>
      <c r="H5" s="32"/>
      <c r="I5" s="32"/>
      <c r="J5" s="32"/>
      <c r="K5" s="32"/>
      <c r="L5" s="32"/>
    </row>
    <row r="6" spans="1:13" ht="31.5" customHeight="1">
      <c r="A6" s="1132" t="s">
        <v>1447</v>
      </c>
      <c r="B6" s="1132"/>
      <c r="C6" s="1132"/>
      <c r="D6" s="1132"/>
      <c r="E6" s="1132"/>
      <c r="F6" s="1132"/>
      <c r="G6" s="1132"/>
      <c r="H6" s="1132"/>
      <c r="I6" s="1132"/>
      <c r="J6" s="1132"/>
      <c r="K6" s="1132"/>
      <c r="L6" s="1132"/>
      <c r="M6" s="1132"/>
    </row>
    <row r="7" spans="1:13" ht="31.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9" t="s">
        <v>161</v>
      </c>
    </row>
    <row r="8" spans="1:13" ht="282.75" customHeight="1">
      <c r="A8" s="1188" t="s">
        <v>1037</v>
      </c>
      <c r="B8" s="1189"/>
      <c r="C8" s="708" t="s">
        <v>53</v>
      </c>
      <c r="D8" s="708" t="s">
        <v>54</v>
      </c>
      <c r="E8" s="709" t="s">
        <v>799</v>
      </c>
      <c r="F8" s="708" t="s">
        <v>1045</v>
      </c>
      <c r="G8" s="708" t="s">
        <v>1048</v>
      </c>
      <c r="H8" s="709" t="s">
        <v>417</v>
      </c>
      <c r="I8" s="709" t="s">
        <v>418</v>
      </c>
      <c r="J8" s="709" t="s">
        <v>419</v>
      </c>
      <c r="K8" s="709" t="s">
        <v>420</v>
      </c>
      <c r="L8" s="709" t="s">
        <v>421</v>
      </c>
      <c r="M8" s="710" t="s">
        <v>334</v>
      </c>
    </row>
    <row r="9" spans="1:13" s="20" customFormat="1" ht="15">
      <c r="A9" s="306" t="s">
        <v>1010</v>
      </c>
      <c r="B9" s="306"/>
      <c r="C9" s="304" t="s">
        <v>1041</v>
      </c>
      <c r="D9" s="304" t="s">
        <v>1043</v>
      </c>
      <c r="E9" s="304" t="s">
        <v>1043</v>
      </c>
      <c r="F9" s="304" t="s">
        <v>1046</v>
      </c>
      <c r="G9" s="304" t="s">
        <v>1046</v>
      </c>
      <c r="H9" s="305" t="s">
        <v>1046</v>
      </c>
      <c r="I9" s="304" t="s">
        <v>1450</v>
      </c>
      <c r="J9" s="304" t="s">
        <v>1450</v>
      </c>
      <c r="K9" s="304" t="s">
        <v>1450</v>
      </c>
      <c r="L9" s="304" t="s">
        <v>1451</v>
      </c>
      <c r="M9" s="304"/>
    </row>
    <row r="10" spans="1:16" s="10" customFormat="1" ht="15">
      <c r="A10" s="302" t="s">
        <v>1011</v>
      </c>
      <c r="B10" s="300"/>
      <c r="C10" s="301">
        <v>19471</v>
      </c>
      <c r="D10" s="301">
        <v>5043</v>
      </c>
      <c r="E10" s="301">
        <v>9218</v>
      </c>
      <c r="F10" s="301">
        <v>77478</v>
      </c>
      <c r="G10" s="301">
        <v>36000</v>
      </c>
      <c r="H10" s="301">
        <v>6520</v>
      </c>
      <c r="I10" s="301">
        <v>1744</v>
      </c>
      <c r="J10" s="301">
        <v>15768</v>
      </c>
      <c r="K10" s="301">
        <v>5706</v>
      </c>
      <c r="L10" s="301">
        <v>68000</v>
      </c>
      <c r="M10" s="307">
        <f aca="true" t="shared" si="0" ref="M10:M28">SUM(C10:L10)</f>
        <v>244948</v>
      </c>
      <c r="P10" s="10" t="s">
        <v>807</v>
      </c>
    </row>
    <row r="11" spans="1:18" ht="15" customHeight="1">
      <c r="A11" s="1191" t="s">
        <v>416</v>
      </c>
      <c r="B11" s="1192"/>
      <c r="C11" s="301">
        <f>SUM(C13:C27)</f>
        <v>4156.4</v>
      </c>
      <c r="D11" s="301">
        <f aca="true" t="shared" si="1" ref="D11:L11">SUM(D13:D27)</f>
        <v>322.8</v>
      </c>
      <c r="E11" s="301">
        <f t="shared" si="1"/>
        <v>546.4</v>
      </c>
      <c r="F11" s="301">
        <f t="shared" si="1"/>
        <v>25393.600000000002</v>
      </c>
      <c r="G11" s="301">
        <f t="shared" si="1"/>
        <v>12503.599999999999</v>
      </c>
      <c r="H11" s="301">
        <f t="shared" si="1"/>
        <v>2219.5999999999995</v>
      </c>
      <c r="I11" s="301">
        <f t="shared" si="1"/>
        <v>672</v>
      </c>
      <c r="J11" s="301">
        <f t="shared" si="1"/>
        <v>4504.8</v>
      </c>
      <c r="K11" s="301">
        <f t="shared" si="1"/>
        <v>1687.2000000000003</v>
      </c>
      <c r="L11" s="301">
        <f t="shared" si="1"/>
        <v>15864</v>
      </c>
      <c r="M11" s="307">
        <f t="shared" si="0"/>
        <v>67870.4</v>
      </c>
      <c r="P11" s="13" t="s">
        <v>806</v>
      </c>
      <c r="R11" s="13" t="s">
        <v>805</v>
      </c>
    </row>
    <row r="12" spans="1:18" s="13" customFormat="1" ht="15">
      <c r="A12" s="1190"/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7">
        <f t="shared" si="0"/>
        <v>0</v>
      </c>
      <c r="O12" s="13" t="s">
        <v>1043</v>
      </c>
      <c r="P12" s="60"/>
      <c r="R12" s="13">
        <v>3.9</v>
      </c>
    </row>
    <row r="13" spans="1:18" s="13" customFormat="1" ht="15">
      <c r="A13" s="1190"/>
      <c r="B13" s="300">
        <v>2013</v>
      </c>
      <c r="C13" s="301">
        <f>8*130*0.4</f>
        <v>416</v>
      </c>
      <c r="D13" s="301">
        <f>807*0.4</f>
        <v>322.8</v>
      </c>
      <c r="E13" s="301">
        <f>1366*0.4</f>
        <v>546.4</v>
      </c>
      <c r="F13" s="301">
        <f>6456*0.4</f>
        <v>2582.4</v>
      </c>
      <c r="G13" s="301">
        <f>2108*0.4</f>
        <v>843.2</v>
      </c>
      <c r="H13" s="301">
        <f>384*0.4</f>
        <v>153.60000000000002</v>
      </c>
      <c r="I13" s="301">
        <f>336*0.4</f>
        <v>134.4</v>
      </c>
      <c r="J13" s="301">
        <f>3004*0.4</f>
        <v>1201.6000000000001</v>
      </c>
      <c r="K13" s="301">
        <f>846*0.4</f>
        <v>338.40000000000003</v>
      </c>
      <c r="L13" s="301">
        <f>18421*0.4</f>
        <v>7368.400000000001</v>
      </c>
      <c r="M13" s="307">
        <f t="shared" si="0"/>
        <v>13907.2</v>
      </c>
      <c r="O13" s="13" t="s">
        <v>1046</v>
      </c>
      <c r="P13" s="60"/>
      <c r="R13" s="13">
        <v>8</v>
      </c>
    </row>
    <row r="14" spans="1:18" s="13" customFormat="1" ht="15">
      <c r="A14" s="1190"/>
      <c r="B14" s="300">
        <v>2014</v>
      </c>
      <c r="C14" s="301">
        <f aca="true" t="shared" si="2" ref="C14:C21">8*130*0.4</f>
        <v>416</v>
      </c>
      <c r="D14" s="301"/>
      <c r="E14" s="301"/>
      <c r="F14" s="301">
        <f aca="true" t="shared" si="3" ref="F14:F21">6456*0.4</f>
        <v>2582.4</v>
      </c>
      <c r="G14" s="301">
        <f>2107*0.4</f>
        <v>842.8000000000001</v>
      </c>
      <c r="H14" s="301">
        <f aca="true" t="shared" si="4" ref="H14:H26">384*0.4</f>
        <v>153.60000000000002</v>
      </c>
      <c r="I14" s="301">
        <f>336*0.4</f>
        <v>134.4</v>
      </c>
      <c r="J14" s="301">
        <f>3004*0.4</f>
        <v>1201.6000000000001</v>
      </c>
      <c r="K14" s="301">
        <f>846*0.4</f>
        <v>338.40000000000003</v>
      </c>
      <c r="L14" s="301">
        <f>17004*0.4</f>
        <v>6801.6</v>
      </c>
      <c r="M14" s="307">
        <f t="shared" si="0"/>
        <v>12470.8</v>
      </c>
      <c r="O14" s="13" t="s">
        <v>800</v>
      </c>
      <c r="P14" s="60"/>
      <c r="R14" s="13">
        <v>6.1</v>
      </c>
    </row>
    <row r="15" spans="1:16" s="13" customFormat="1" ht="15">
      <c r="A15" s="1190"/>
      <c r="B15" s="300">
        <v>2015</v>
      </c>
      <c r="C15" s="301">
        <f t="shared" si="2"/>
        <v>416</v>
      </c>
      <c r="D15" s="301"/>
      <c r="E15" s="301"/>
      <c r="F15" s="301">
        <f t="shared" si="3"/>
        <v>2582.4</v>
      </c>
      <c r="G15" s="301">
        <f>2107*0.4</f>
        <v>842.8000000000001</v>
      </c>
      <c r="H15" s="301">
        <f t="shared" si="4"/>
        <v>153.60000000000002</v>
      </c>
      <c r="I15" s="301">
        <f>336*0.4</f>
        <v>134.4</v>
      </c>
      <c r="J15" s="301">
        <f>3004*0.4</f>
        <v>1201.6000000000001</v>
      </c>
      <c r="K15" s="301">
        <f>846*0.4</f>
        <v>338.40000000000003</v>
      </c>
      <c r="L15" s="301">
        <f>4235*0.4</f>
        <v>1694</v>
      </c>
      <c r="M15" s="307">
        <f t="shared" si="0"/>
        <v>7363.2</v>
      </c>
      <c r="O15" s="13" t="s">
        <v>1450</v>
      </c>
      <c r="P15" s="60"/>
    </row>
    <row r="16" spans="1:16" s="13" customFormat="1" ht="15">
      <c r="A16" s="1190"/>
      <c r="B16" s="300">
        <v>2016</v>
      </c>
      <c r="C16" s="301">
        <f t="shared" si="2"/>
        <v>416</v>
      </c>
      <c r="D16" s="301"/>
      <c r="E16" s="301"/>
      <c r="F16" s="301">
        <f t="shared" si="3"/>
        <v>2582.4</v>
      </c>
      <c r="G16" s="301">
        <f>2108*0.4</f>
        <v>843.2</v>
      </c>
      <c r="H16" s="301">
        <f t="shared" si="4"/>
        <v>153.60000000000002</v>
      </c>
      <c r="I16" s="301">
        <f>336*0.4</f>
        <v>134.4</v>
      </c>
      <c r="J16" s="301">
        <f>2250*0.4</f>
        <v>900</v>
      </c>
      <c r="K16" s="301">
        <f>846*0.4</f>
        <v>338.40000000000003</v>
      </c>
      <c r="L16" s="301"/>
      <c r="M16" s="307">
        <f t="shared" si="0"/>
        <v>5368</v>
      </c>
      <c r="O16" s="13" t="s">
        <v>1451</v>
      </c>
      <c r="P16" s="60"/>
    </row>
    <row r="17" spans="1:16" s="13" customFormat="1" ht="15">
      <c r="A17" s="1190"/>
      <c r="B17" s="300">
        <v>2017</v>
      </c>
      <c r="C17" s="301">
        <f t="shared" si="2"/>
        <v>416</v>
      </c>
      <c r="D17" s="301"/>
      <c r="E17" s="301"/>
      <c r="F17" s="301">
        <f t="shared" si="3"/>
        <v>2582.4</v>
      </c>
      <c r="G17" s="301">
        <f>2107*0.4</f>
        <v>842.8000000000001</v>
      </c>
      <c r="H17" s="301">
        <f t="shared" si="4"/>
        <v>153.60000000000002</v>
      </c>
      <c r="I17" s="301">
        <f>336*0.4</f>
        <v>134.4</v>
      </c>
      <c r="J17" s="301"/>
      <c r="K17" s="301">
        <f>834*0.4</f>
        <v>333.6</v>
      </c>
      <c r="L17" s="301"/>
      <c r="M17" s="307">
        <f t="shared" si="0"/>
        <v>4462.8</v>
      </c>
      <c r="O17" s="13" t="s">
        <v>1452</v>
      </c>
      <c r="P17" s="60"/>
    </row>
    <row r="18" spans="1:15" s="13" customFormat="1" ht="15">
      <c r="A18" s="1190"/>
      <c r="B18" s="300">
        <v>2018</v>
      </c>
      <c r="C18" s="301">
        <f t="shared" si="2"/>
        <v>416</v>
      </c>
      <c r="D18" s="301"/>
      <c r="E18" s="301"/>
      <c r="F18" s="301">
        <f t="shared" si="3"/>
        <v>2582.4</v>
      </c>
      <c r="G18" s="301">
        <f>2107*0.4</f>
        <v>842.8000000000001</v>
      </c>
      <c r="H18" s="301">
        <f t="shared" si="4"/>
        <v>153.60000000000002</v>
      </c>
      <c r="I18" s="301"/>
      <c r="J18" s="301"/>
      <c r="K18" s="301"/>
      <c r="L18" s="301"/>
      <c r="M18" s="307">
        <f t="shared" si="0"/>
        <v>3994.8</v>
      </c>
      <c r="O18" s="13" t="s">
        <v>801</v>
      </c>
    </row>
    <row r="19" spans="1:15" s="13" customFormat="1" ht="15">
      <c r="A19" s="1190"/>
      <c r="B19" s="300">
        <v>2019</v>
      </c>
      <c r="C19" s="301">
        <f t="shared" si="2"/>
        <v>416</v>
      </c>
      <c r="D19" s="301"/>
      <c r="E19" s="301"/>
      <c r="F19" s="301">
        <f t="shared" si="3"/>
        <v>2582.4</v>
      </c>
      <c r="G19" s="301">
        <f>2108*0.4</f>
        <v>843.2</v>
      </c>
      <c r="H19" s="301">
        <f t="shared" si="4"/>
        <v>153.60000000000002</v>
      </c>
      <c r="I19" s="301"/>
      <c r="J19" s="301"/>
      <c r="K19" s="301"/>
      <c r="L19" s="301"/>
      <c r="M19" s="307">
        <f t="shared" si="0"/>
        <v>3995.2000000000003</v>
      </c>
      <c r="O19" s="13" t="s">
        <v>1044</v>
      </c>
    </row>
    <row r="20" spans="1:15" s="13" customFormat="1" ht="15">
      <c r="A20" s="1190"/>
      <c r="B20" s="300">
        <v>2020</v>
      </c>
      <c r="C20" s="301">
        <f t="shared" si="2"/>
        <v>416</v>
      </c>
      <c r="D20" s="301"/>
      <c r="E20" s="301"/>
      <c r="F20" s="301">
        <f t="shared" si="3"/>
        <v>2582.4</v>
      </c>
      <c r="G20" s="301">
        <f>2107*0.4</f>
        <v>842.8000000000001</v>
      </c>
      <c r="H20" s="301">
        <f t="shared" si="4"/>
        <v>153.60000000000002</v>
      </c>
      <c r="I20" s="301"/>
      <c r="J20" s="301"/>
      <c r="K20" s="301"/>
      <c r="L20" s="301"/>
      <c r="M20" s="307">
        <f t="shared" si="0"/>
        <v>3994.8</v>
      </c>
      <c r="O20" s="13" t="s">
        <v>802</v>
      </c>
    </row>
    <row r="21" spans="1:18" s="30" customFormat="1" ht="15.75">
      <c r="A21" s="1190"/>
      <c r="B21" s="300">
        <v>2021</v>
      </c>
      <c r="C21" s="301">
        <f t="shared" si="2"/>
        <v>416</v>
      </c>
      <c r="D21" s="301"/>
      <c r="E21" s="301"/>
      <c r="F21" s="301">
        <f t="shared" si="3"/>
        <v>2582.4</v>
      </c>
      <c r="G21" s="301">
        <f>2107*0.4</f>
        <v>842.8000000000001</v>
      </c>
      <c r="H21" s="301">
        <f t="shared" si="4"/>
        <v>153.60000000000002</v>
      </c>
      <c r="I21" s="301"/>
      <c r="J21" s="301"/>
      <c r="K21" s="301"/>
      <c r="L21" s="301"/>
      <c r="M21" s="307">
        <f t="shared" si="0"/>
        <v>3994.8</v>
      </c>
      <c r="O21" s="13" t="s">
        <v>803</v>
      </c>
      <c r="R21" s="13"/>
    </row>
    <row r="22" spans="1:18" ht="15">
      <c r="A22" s="1190"/>
      <c r="B22" s="300">
        <v>2022</v>
      </c>
      <c r="C22" s="301">
        <f>1031*0.4</f>
        <v>412.40000000000003</v>
      </c>
      <c r="D22" s="301"/>
      <c r="E22" s="301"/>
      <c r="F22" s="301">
        <f>5380*0.4</f>
        <v>2152</v>
      </c>
      <c r="G22" s="301">
        <f>2108*0.4</f>
        <v>843.2</v>
      </c>
      <c r="H22" s="301">
        <f t="shared" si="4"/>
        <v>153.60000000000002</v>
      </c>
      <c r="I22" s="301"/>
      <c r="J22" s="301"/>
      <c r="K22" s="301"/>
      <c r="L22" s="301"/>
      <c r="M22" s="307">
        <f t="shared" si="0"/>
        <v>3561.2000000000003</v>
      </c>
      <c r="O22" s="13" t="s">
        <v>804</v>
      </c>
      <c r="R22" s="13"/>
    </row>
    <row r="23" spans="1:18" ht="15">
      <c r="A23" s="1190"/>
      <c r="B23" s="300">
        <v>2023</v>
      </c>
      <c r="C23" s="301"/>
      <c r="D23" s="301"/>
      <c r="E23" s="301"/>
      <c r="F23" s="301"/>
      <c r="G23" s="301">
        <f>2107*0.4</f>
        <v>842.8000000000001</v>
      </c>
      <c r="H23" s="301">
        <f t="shared" si="4"/>
        <v>153.60000000000002</v>
      </c>
      <c r="I23" s="301"/>
      <c r="J23" s="301"/>
      <c r="K23" s="301"/>
      <c r="L23" s="301"/>
      <c r="M23" s="307">
        <f t="shared" si="0"/>
        <v>996.4000000000001</v>
      </c>
      <c r="O23" s="13" t="s">
        <v>1448</v>
      </c>
      <c r="R23" s="13"/>
    </row>
    <row r="24" spans="1:13" ht="15">
      <c r="A24" s="1190"/>
      <c r="B24" s="300">
        <v>2024</v>
      </c>
      <c r="C24" s="301"/>
      <c r="D24" s="301"/>
      <c r="E24" s="301"/>
      <c r="F24" s="301"/>
      <c r="G24" s="301">
        <f>2107*0.4</f>
        <v>842.8000000000001</v>
      </c>
      <c r="H24" s="301">
        <f t="shared" si="4"/>
        <v>153.60000000000002</v>
      </c>
      <c r="I24" s="301"/>
      <c r="J24" s="301"/>
      <c r="K24" s="301"/>
      <c r="L24" s="301"/>
      <c r="M24" s="307">
        <f t="shared" si="0"/>
        <v>996.4000000000001</v>
      </c>
    </row>
    <row r="25" spans="1:13" ht="15">
      <c r="A25" s="1190"/>
      <c r="B25" s="300">
        <v>2025</v>
      </c>
      <c r="C25" s="301"/>
      <c r="D25" s="301"/>
      <c r="E25" s="301"/>
      <c r="F25" s="301"/>
      <c r="G25" s="301">
        <f>2108*0.4</f>
        <v>843.2</v>
      </c>
      <c r="H25" s="301">
        <f t="shared" si="4"/>
        <v>153.60000000000002</v>
      </c>
      <c r="I25" s="301"/>
      <c r="J25" s="301"/>
      <c r="K25" s="301"/>
      <c r="L25" s="301"/>
      <c r="M25" s="307">
        <f t="shared" si="0"/>
        <v>996.8000000000001</v>
      </c>
    </row>
    <row r="26" spans="1:13" ht="15">
      <c r="A26" s="1190"/>
      <c r="B26" s="300">
        <v>2026</v>
      </c>
      <c r="C26" s="301"/>
      <c r="D26" s="301"/>
      <c r="E26" s="301"/>
      <c r="F26" s="301"/>
      <c r="G26" s="301">
        <f>2107*0.4</f>
        <v>842.8000000000001</v>
      </c>
      <c r="H26" s="301">
        <f t="shared" si="4"/>
        <v>153.60000000000002</v>
      </c>
      <c r="I26" s="301"/>
      <c r="J26" s="301"/>
      <c r="K26" s="301"/>
      <c r="L26" s="301"/>
      <c r="M26" s="307">
        <f t="shared" si="0"/>
        <v>996.4000000000001</v>
      </c>
    </row>
    <row r="27" spans="1:13" ht="15">
      <c r="A27" s="1190"/>
      <c r="B27" s="300">
        <v>2027</v>
      </c>
      <c r="C27" s="301"/>
      <c r="D27" s="301"/>
      <c r="E27" s="301"/>
      <c r="F27" s="301"/>
      <c r="G27" s="301">
        <f>1756*0.4</f>
        <v>702.4000000000001</v>
      </c>
      <c r="H27" s="301">
        <f>173*0.4</f>
        <v>69.2</v>
      </c>
      <c r="I27" s="301"/>
      <c r="J27" s="301"/>
      <c r="K27" s="301"/>
      <c r="L27" s="301"/>
      <c r="M27" s="307">
        <f t="shared" si="0"/>
        <v>771.6000000000001</v>
      </c>
    </row>
    <row r="28" spans="1:13" ht="15">
      <c r="A28" s="1190"/>
      <c r="B28" s="302" t="s">
        <v>1038</v>
      </c>
      <c r="C28" s="301">
        <f aca="true" t="shared" si="5" ref="C28:L28">SUM(C12:C27)</f>
        <v>4156.4</v>
      </c>
      <c r="D28" s="301">
        <f t="shared" si="5"/>
        <v>322.8</v>
      </c>
      <c r="E28" s="301">
        <f t="shared" si="5"/>
        <v>546.4</v>
      </c>
      <c r="F28" s="301">
        <f t="shared" si="5"/>
        <v>25393.600000000002</v>
      </c>
      <c r="G28" s="301">
        <f t="shared" si="5"/>
        <v>12503.599999999999</v>
      </c>
      <c r="H28" s="301">
        <f t="shared" si="5"/>
        <v>2219.5999999999995</v>
      </c>
      <c r="I28" s="301">
        <f t="shared" si="5"/>
        <v>672</v>
      </c>
      <c r="J28" s="301">
        <f t="shared" si="5"/>
        <v>4504.8</v>
      </c>
      <c r="K28" s="301">
        <f t="shared" si="5"/>
        <v>1687.2000000000003</v>
      </c>
      <c r="L28" s="301">
        <f t="shared" si="5"/>
        <v>15864</v>
      </c>
      <c r="M28" s="307">
        <f t="shared" si="0"/>
        <v>67870.4</v>
      </c>
    </row>
    <row r="29" spans="1:13" ht="15">
      <c r="A29" s="707" t="s">
        <v>1008</v>
      </c>
      <c r="B29" s="303"/>
      <c r="C29" s="304" t="s">
        <v>1042</v>
      </c>
      <c r="D29" s="304" t="s">
        <v>1044</v>
      </c>
      <c r="E29" s="304" t="s">
        <v>1044</v>
      </c>
      <c r="F29" s="304" t="s">
        <v>1047</v>
      </c>
      <c r="G29" s="304" t="s">
        <v>1446</v>
      </c>
      <c r="H29" s="304" t="s">
        <v>1446</v>
      </c>
      <c r="I29" s="304" t="s">
        <v>1448</v>
      </c>
      <c r="J29" s="304" t="s">
        <v>804</v>
      </c>
      <c r="K29" s="304" t="s">
        <v>1448</v>
      </c>
      <c r="L29" s="304" t="s">
        <v>803</v>
      </c>
      <c r="M29" s="304"/>
    </row>
    <row r="30" spans="2:13" s="20" customFormat="1" ht="12.75">
      <c r="B30"/>
      <c r="C30"/>
      <c r="D30"/>
      <c r="E30"/>
      <c r="F30"/>
      <c r="G30"/>
      <c r="H30"/>
      <c r="I30"/>
      <c r="J30"/>
      <c r="K30"/>
      <c r="L30"/>
      <c r="M30"/>
    </row>
    <row r="31" spans="4:12" ht="12.75">
      <c r="D31" s="13"/>
      <c r="E31" s="13"/>
      <c r="F31" s="13"/>
      <c r="G31" s="13"/>
      <c r="H31" s="13"/>
      <c r="I31" s="13"/>
      <c r="J31" s="13"/>
      <c r="K31" s="13"/>
      <c r="L31" s="13"/>
    </row>
  </sheetData>
  <sheetProtection/>
  <mergeCells count="6">
    <mergeCell ref="A1:M1"/>
    <mergeCell ref="A8:B8"/>
    <mergeCell ref="A12:A28"/>
    <mergeCell ref="A11:B11"/>
    <mergeCell ref="A6:M6"/>
    <mergeCell ref="A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 Kistérségi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József</dc:creator>
  <cp:keywords/>
  <dc:description/>
  <cp:lastModifiedBy>Csenei Áron</cp:lastModifiedBy>
  <cp:lastPrinted>2013-05-16T13:23:00Z</cp:lastPrinted>
  <dcterms:created xsi:type="dcterms:W3CDTF">2005-12-29T10:12:48Z</dcterms:created>
  <dcterms:modified xsi:type="dcterms:W3CDTF">2013-05-16T13:47:43Z</dcterms:modified>
  <cp:category/>
  <cp:version/>
  <cp:contentType/>
  <cp:contentStatus/>
</cp:coreProperties>
</file>