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activeTab="20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r:id="rId7"/>
    <sheet name="3bm" sheetId="8" r:id="rId8"/>
    <sheet name="4m" sheetId="9" state="hidden" r:id="rId9"/>
    <sheet name="4am" sheetId="10" r:id="rId10"/>
    <sheet name="4bm" sheetId="11" r:id="rId11"/>
    <sheet name="5m" sheetId="12" state="hidden" r:id="rId12"/>
    <sheet name="6m" sheetId="13" state="hidden" r:id="rId13"/>
    <sheet name="7m" sheetId="14" state="hidden" r:id="rId14"/>
    <sheet name="8m" sheetId="15" state="hidden" r:id="rId15"/>
    <sheet name="9m" sheetId="16" state="hidden" r:id="rId16"/>
    <sheet name="10m" sheetId="17" r:id="rId17"/>
    <sheet name="11m" sheetId="18" r:id="rId18"/>
    <sheet name="12m" sheetId="19" r:id="rId19"/>
    <sheet name="13m" sheetId="20" r:id="rId20"/>
    <sheet name="14m" sheetId="21" r:id="rId21"/>
    <sheet name="19m" sheetId="22" state="hidden" r:id="rId22"/>
    <sheet name="16m" sheetId="23" state="hidden" r:id="rId23"/>
    <sheet name="hitelkorlát" sheetId="24" state="hidden" r:id="rId24"/>
    <sheet name="841126-116-Önk. igazgatás" sheetId="25" state="hidden" r:id="rId25"/>
    <sheet name="Polg. Hiv" sheetId="26" state="hidden" r:id="rId26"/>
    <sheet name="841126-PHiv" sheetId="27" state="hidden" r:id="rId27"/>
    <sheet name="Bérek2013" sheetId="28" state="hidden" r:id="rId28"/>
    <sheet name="841125-115-Elsőfokú ép. hatóság" sheetId="29" state="hidden" r:id="rId29"/>
    <sheet name="841133-adó beszedése" sheetId="30" state="hidden" r:id="rId30"/>
    <sheet name="841112-117-Képviselőtestület" sheetId="31" state="hidden" r:id="rId31"/>
    <sheet name="841126-166-Többc.munk.sz." sheetId="32" state="hidden" r:id="rId32"/>
    <sheet name="Bérek önk." sheetId="33" state="hidden" r:id="rId33"/>
    <sheet name="862101-Háziorvosi alapellátás" sheetId="34" state="hidden" r:id="rId34"/>
    <sheet name="869041-Védőnő1" sheetId="35" state="hidden" r:id="rId35"/>
    <sheet name="869042-Védőnő2" sheetId="36" state="hidden" r:id="rId36"/>
    <sheet name="Önk." sheetId="37" state="hidden" r:id="rId37"/>
    <sheet name="890441-Közcélú 2012" sheetId="38" state="hidden" r:id="rId38"/>
    <sheet name="680001-Lakásgazd. " sheetId="39" state="hidden" r:id="rId39"/>
    <sheet name="841403- Városgazdálkodás" sheetId="40" state="hidden" r:id="rId40"/>
    <sheet name="841402-Közvilágítás" sheetId="41" state="hidden" r:id="rId41"/>
    <sheet name="Szennyvíztársulás" sheetId="42" state="hidden" r:id="rId42"/>
    <sheet name="682002-Nem lakóingatlanok" sheetId="43" state="hidden" r:id="rId43"/>
    <sheet name="841126-Finanszírozási műveletek" sheetId="44" state="hidden" r:id="rId44"/>
    <sheet name="842531-Polgári védelem" sheetId="45" state="hidden" r:id="rId45"/>
    <sheet name="931102-172-Sportcsarnok" sheetId="46" state="hidden" r:id="rId46"/>
    <sheet name="602000-CSTV" sheetId="47" state="hidden" r:id="rId47"/>
    <sheet name="901501-Közösségi ház " sheetId="48" state="hidden" r:id="rId48"/>
    <sheet name="882129-Öregek ebédje" sheetId="49" state="hidden" r:id="rId49"/>
    <sheet name="-Rendsz.szoc.pénz.ell." sheetId="50" state="hidden" r:id="rId50"/>
    <sheet name="882117-Rendsz.gyv.pénz.ell." sheetId="51" state="hidden" r:id="rId51"/>
    <sheet name="882119 - Óvodáztatási támogatás" sheetId="52" state="hidden" r:id="rId52"/>
    <sheet name="882111-Munkanélküli ellátások" sheetId="53" state="hidden" r:id="rId53"/>
    <sheet name="-Eseti pénz.szoc.ell." sheetId="54" state="hidden" r:id="rId54"/>
    <sheet name="882124-Eseti pénz.gyv.ell" sheetId="55" state="hidden" r:id="rId55"/>
    <sheet name="rehabilitációs hj " sheetId="56" state="hidden" r:id="rId56"/>
    <sheet name="bejáró 2012" sheetId="57" state="hidden" r:id="rId57"/>
    <sheet name="Körjegyzőség 2013" sheetId="58" state="hidden" r:id="rId58"/>
    <sheet name="pénzmaradvány" sheetId="59" state="hidden" r:id="rId59"/>
    <sheet name="Városgazd" sheetId="60" state="hidden" r:id="rId60"/>
    <sheet name="Int-ek" sheetId="61" state="hidden" r:id="rId61"/>
    <sheet name="841901-Önk saját bevételei" sheetId="62" state="hidden" r:id="rId62"/>
    <sheet name="Fejlesztési kiadások" sheetId="63" state="hidden" r:id="rId63"/>
    <sheet name="Fejlesztési bevételek" sheetId="64" state="hidden" r:id="rId64"/>
    <sheet name="Munka1" sheetId="65" state="hidden" r:id="rId65"/>
  </sheets>
  <externalReferences>
    <externalReference r:id="rId68"/>
  </externalReferences>
  <definedNames>
    <definedName name="_xlnm._FilterDatabase" localSheetId="27" hidden="1">'Bérek2013'!$B$1:$C$47</definedName>
    <definedName name="CRITERIA" localSheetId="32">'Bérek önk.'!$B$2</definedName>
    <definedName name="_xlnm.Print_Area" localSheetId="16">'10m'!$A$1:$R$34</definedName>
    <definedName name="_xlnm.Print_Area" localSheetId="17">'11m'!$A$1:$R$34</definedName>
    <definedName name="_xlnm.Print_Area" localSheetId="18">'12m'!$A$1:$R$34</definedName>
    <definedName name="_xlnm.Print_Area" localSheetId="19">'13m'!$A$1:$R$32</definedName>
    <definedName name="_xlnm.Print_Area" localSheetId="20">'14m'!$A$1:$Q$65</definedName>
    <definedName name="_xlnm.Print_Area" localSheetId="1">'1am'!$A$1:$AC$55</definedName>
    <definedName name="_xlnm.Print_Area" localSheetId="2">'1bm'!$A$1:$AC$22</definedName>
    <definedName name="_xlnm.Print_Area" localSheetId="0">'1m'!$A$1:$G$62</definedName>
    <definedName name="_xlnm.Print_Area" localSheetId="4">'2am'!$A$1:$AQ$42</definedName>
    <definedName name="_xlnm.Print_Area" localSheetId="5">'2bm'!$A$1:$AO$20</definedName>
    <definedName name="_xlnm.Print_Area" localSheetId="3">'2m'!$A$1:$E$54</definedName>
    <definedName name="_xlnm.Print_Area" localSheetId="6">'3am'!$A$1:$F$34</definedName>
    <definedName name="_xlnm.Print_Area" localSheetId="7">'3bm'!$A$1:$F$43</definedName>
    <definedName name="_xlnm.Print_Area" localSheetId="9">'4am'!$A$1:$E$52</definedName>
    <definedName name="_xlnm.Print_Area" localSheetId="10">'4bm'!$A$1:$M$68</definedName>
    <definedName name="_xlnm.Print_Area" localSheetId="8">'4m'!$A$1:$M$29</definedName>
    <definedName name="_xlnm.Print_Area" localSheetId="38">'680001-Lakásgazd. '!$A$1:$E$33</definedName>
    <definedName name="_xlnm.Print_Area" localSheetId="42">'682002-Nem lakóingatlanok'!$A$1:$E$30</definedName>
    <definedName name="_xlnm.Print_Area" localSheetId="12">'6m'!$A$1:$E$26</definedName>
    <definedName name="_xlnm.Print_Area" localSheetId="13">'7m'!$A$1:$G$20</definedName>
    <definedName name="_xlnm.Print_Area" localSheetId="30">'841112-117-Képviselőtestület'!$A$1:$E$64</definedName>
    <definedName name="_xlnm.Print_Area" localSheetId="28">'841125-115-Elsőfokú ép. hatóság'!$A$1:$E$49</definedName>
    <definedName name="_xlnm.Print_Area" localSheetId="24">'841126-116-Önk. igazgatás'!$A$1:$E$158</definedName>
    <definedName name="_xlnm.Print_Area" localSheetId="31">'841126-166-Többc.munk.sz.'!$A$1:$E$37</definedName>
    <definedName name="_xlnm.Print_Area" localSheetId="43">'841126-Finanszírozási műveletek'!$A$1:$D$27</definedName>
    <definedName name="_xlnm.Print_Area" localSheetId="26">'841126-PHiv'!$A$1:$G$115</definedName>
    <definedName name="_xlnm.Print_Area" localSheetId="61">'841901-Önk saját bevételei'!$A$1:$E$69</definedName>
    <definedName name="_xlnm.Print_Area" localSheetId="33">'862101-Háziorvosi alapellátás'!$A$1:$E$46</definedName>
    <definedName name="_xlnm.Print_Area" localSheetId="48">'882129-Öregek ebédje'!$A$1:$E$33</definedName>
    <definedName name="_xlnm.Print_Area" localSheetId="14">'8m'!$A$1:$P$27</definedName>
    <definedName name="_xlnm.Print_Area" localSheetId="47">'901501-Közösségi ház '!$A$1:$E$37</definedName>
    <definedName name="_xlnm.Print_Area" localSheetId="15">'9m'!$A$1:$E$14</definedName>
    <definedName name="_xlnm.Print_Area" localSheetId="56">'bejáró 2012'!$A$1:$H$36</definedName>
    <definedName name="_xlnm.Print_Area" localSheetId="27">'Bérek2013'!$A$1:$AB$50</definedName>
    <definedName name="_xlnm.Print_Area" localSheetId="63">'Fejlesztési bevételek'!$A$1:$E$66</definedName>
    <definedName name="_xlnm.Print_Area" localSheetId="62">'Fejlesztési kiadások'!$A$1:$E$109</definedName>
    <definedName name="_xlnm.Print_Area" localSheetId="23">'hitelkorlát'!$A$1:$D$31</definedName>
    <definedName name="_xlnm.Print_Area" localSheetId="49">'-Rendsz.szoc.pénz.ell.'!$A$1:$E$37</definedName>
  </definedNames>
  <calcPr fullCalcOnLoad="1"/>
</workbook>
</file>

<file path=xl/sharedStrings.xml><?xml version="1.0" encoding="utf-8"?>
<sst xmlns="http://schemas.openxmlformats.org/spreadsheetml/2006/main" count="2766" uniqueCount="1584">
  <si>
    <t>869042- Védőnői szolgálat</t>
  </si>
  <si>
    <t>Fülöpné</t>
  </si>
  <si>
    <t>Polaneczkiné</t>
  </si>
  <si>
    <t>Egyéb üzemeltetés fenntartás (rezsi ktg 33000*12, takarítás 15000*12)</t>
  </si>
  <si>
    <t>Szakmai anyag beszerzése</t>
  </si>
  <si>
    <t>Irodaszer</t>
  </si>
  <si>
    <t>Díjak, egyéb befizetések (biztosítás</t>
  </si>
  <si>
    <t>Egyéb üzemeltetés fenntartás (rezsi ktg 20000*12, takarítás 5000*12)</t>
  </si>
  <si>
    <t>licence, program hsználati díj 100.000 Ft</t>
  </si>
  <si>
    <t>Szakmai anyag beszerzése 5000/hó</t>
  </si>
  <si>
    <t>értékteremtő</t>
  </si>
  <si>
    <t>munka és védőruha</t>
  </si>
  <si>
    <t>Belvíz</t>
  </si>
  <si>
    <t>kisértékű tárgyi eszk.</t>
  </si>
  <si>
    <t>egyéb dologi</t>
  </si>
  <si>
    <t>illegális hulladék</t>
  </si>
  <si>
    <t>közút</t>
  </si>
  <si>
    <t>mezőgazdasági</t>
  </si>
  <si>
    <t>mezőgazdasági földutak</t>
  </si>
  <si>
    <t>Nagyértékű t. esz. Beszerzése</t>
  </si>
  <si>
    <t>díjak, egyéb befizetsek</t>
  </si>
  <si>
    <t>Start munka</t>
  </si>
  <si>
    <t>=</t>
  </si>
  <si>
    <t>6 órás program</t>
  </si>
  <si>
    <t>Közfoglalkoztatás</t>
  </si>
  <si>
    <t>Védőnői szolgálat</t>
  </si>
  <si>
    <t>Pedagógiai Szakszolgálat</t>
  </si>
  <si>
    <t>51 Rendszeres és nem rendszeres személyi juttatások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</si>
  <si>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</si>
  <si>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</si>
  <si>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</si>
  <si>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</si>
  <si>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</si>
  <si>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</si>
  <si>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</si>
  <si>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</si>
  <si>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</si>
  <si>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</si>
  <si>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</si>
  <si>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</si>
  <si>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</si>
  <si>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</si>
  <si>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</si>
  <si>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</si>
  <si>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</si>
  <si>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</si>
  <si>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</si>
  <si>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</si>
  <si>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</si>
  <si>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</si>
  <si>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</si>
  <si>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</si>
  <si>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</si>
  <si>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Szoc bérlak ép felvett hitel</t>
  </si>
  <si>
    <t>MFB hitel utak javítására</t>
  </si>
  <si>
    <t>Működési bevétel</t>
  </si>
  <si>
    <t>Önkormányzatok Önerő hozzájárulása</t>
  </si>
  <si>
    <t>Áfa (Önerő)</t>
  </si>
  <si>
    <t>Szennyvíz Eu Önerő Alap támogatás</t>
  </si>
  <si>
    <t>Szennyvíz KEOP II.ütem</t>
  </si>
  <si>
    <t>Szennyvíz KEOP II.ütem önk-októl önerőre átvett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</si>
  <si>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</si>
  <si>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</si>
  <si>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</si>
  <si>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</si>
  <si>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</si>
  <si>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</si>
  <si>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</si>
  <si>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</si>
  <si>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Áttanításra átvett pénz Somogyudvarhely</t>
  </si>
  <si>
    <t>Mocsári László</t>
  </si>
  <si>
    <t>Hatóság</t>
  </si>
  <si>
    <t>Beruházás</t>
  </si>
  <si>
    <t>Koordináció</t>
  </si>
  <si>
    <t>Adó</t>
  </si>
  <si>
    <t>Közgazd</t>
  </si>
  <si>
    <t>Jegyző</t>
  </si>
  <si>
    <t>Polgármester</t>
  </si>
  <si>
    <t>Hatóság - Építés</t>
  </si>
  <si>
    <t>név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</si>
  <si>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</si>
  <si>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</si>
  <si>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</si>
  <si>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</si>
  <si>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</si>
  <si>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</si>
  <si>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</si>
  <si>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</si>
  <si>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</si>
  <si>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</si>
  <si>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</si>
  <si>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</si>
  <si>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Keresetkiegészítés közalkalmazottak (2 %)</t>
  </si>
  <si>
    <t>Munkavégzéshez kapcsolódó juttatások</t>
  </si>
  <si>
    <t>Személyhez kapcsolódó költségtérítések és hozzájárulások</t>
  </si>
  <si>
    <t>Munkavégzéshez kapcsolodó juttatások</t>
  </si>
  <si>
    <t>vagyonbiztosítás          489568Ft x 4 negyedév</t>
  </si>
  <si>
    <t>munkáltatói felelősségbiztosítás 34003Ft/negyedév</t>
  </si>
  <si>
    <t>Átengedett központi adók</t>
  </si>
  <si>
    <t>Különféle bírságok</t>
  </si>
  <si>
    <t>Vilkor 1200 eft/év</t>
  </si>
  <si>
    <t>kieg</t>
  </si>
  <si>
    <t>pótlék</t>
  </si>
  <si>
    <t xml:space="preserve"> fűtés karbantartása</t>
  </si>
  <si>
    <t>tisztítószer 30000Ft/hó</t>
  </si>
  <si>
    <t>bútor, textília,zászló</t>
  </si>
  <si>
    <t>Egyéb üzemeltetés fenntartás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</si>
  <si>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</si>
  <si>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</si>
  <si>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</si>
  <si>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</si>
  <si>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</si>
  <si>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</si>
  <si>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</si>
  <si>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</si>
  <si>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</si>
  <si>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</si>
  <si>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</si>
  <si>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</si>
  <si>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</si>
  <si>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személyügy megbízási díja (1 fő 100000Ft/fő/hó)</t>
  </si>
  <si>
    <t>Alapilletmény</t>
  </si>
  <si>
    <t>végkielégítés</t>
  </si>
  <si>
    <t>Horváth József dr.</t>
  </si>
  <si>
    <t>Dingó János</t>
  </si>
  <si>
    <t>vez pótlék</t>
  </si>
  <si>
    <t>Pádár Zsoltné</t>
  </si>
  <si>
    <t>III. körzet</t>
  </si>
  <si>
    <t>Önkormányzati</t>
  </si>
  <si>
    <t xml:space="preserve">Teljes munkaidős köztisztviselők </t>
  </si>
  <si>
    <t>Költségvetés 2012.</t>
  </si>
  <si>
    <t>Villamosenergia-szolgáltatás díjak (ami nem int)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</si>
  <si>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</si>
  <si>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</si>
  <si>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</si>
  <si>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</si>
  <si>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</si>
  <si>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</si>
  <si>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</si>
  <si>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</si>
  <si>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</si>
  <si>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</si>
  <si>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</si>
  <si>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</si>
  <si>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</si>
  <si>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</si>
  <si>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</si>
  <si>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</si>
  <si>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Vásárolt term. és szolg. Áfá-ja 5%</t>
  </si>
  <si>
    <t>Vásárolt term. és szolg. Áfá-ja 27 %</t>
  </si>
  <si>
    <t>LDSZ 2100Ft/hó+27%</t>
  </si>
  <si>
    <t>Áht-n belül átadott ESZA</t>
  </si>
  <si>
    <t xml:space="preserve">illkieg </t>
  </si>
  <si>
    <t>egyéb felt köt pótlék</t>
  </si>
  <si>
    <t>Evangélikus Gyülekezet támogatása</t>
  </si>
  <si>
    <t>Csurgói Református Gyülekezet támogatása</t>
  </si>
  <si>
    <t>Csurgó-alsoki Református Gyülekezet támogatása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</si>
  <si>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</si>
  <si>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</si>
  <si>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</si>
  <si>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</si>
  <si>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</si>
  <si>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</si>
  <si>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</si>
  <si>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</si>
  <si>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soros: 2013.03.16</t>
  </si>
  <si>
    <t>soros: 2013.12.31</t>
  </si>
  <si>
    <t>soros: 2013.01.08</t>
  </si>
  <si>
    <t>soros: 2013.02.14</t>
  </si>
  <si>
    <t>soros: 2013.07.02</t>
  </si>
  <si>
    <t>soros: 2013.08.24</t>
  </si>
  <si>
    <t>soros: 2013.04.07</t>
  </si>
  <si>
    <t>soros: 2013.09.29</t>
  </si>
  <si>
    <t>soros: 2013.03.05</t>
  </si>
  <si>
    <t>Költségvetés 2013.</t>
  </si>
  <si>
    <t>841126 - 116</t>
  </si>
  <si>
    <t>841126, 841125, 841133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</si>
  <si>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</si>
  <si>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</si>
  <si>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</si>
  <si>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</si>
  <si>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</si>
  <si>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Levák Eszter</t>
  </si>
  <si>
    <t>KÖLTSÉGVETÉSI TÁMOGATÁSOK ÖSSZESEN:</t>
  </si>
  <si>
    <t>ELLÁTOTTAK PÉNZBELI JUTTATÁSAI</t>
  </si>
  <si>
    <t>FHT (80 %)-os</t>
  </si>
  <si>
    <t>50 fő X 8.000 Ft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</si>
  <si>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</si>
  <si>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</si>
  <si>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</si>
  <si>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</si>
  <si>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Szabadidősport Egyesület</t>
  </si>
  <si>
    <t>Bölcsöde</t>
  </si>
  <si>
    <t>Ssz.</t>
  </si>
  <si>
    <t xml:space="preserve">SZJA helyben maradó </t>
  </si>
  <si>
    <t>Környezetvédelmi bírság</t>
  </si>
  <si>
    <t>Gépjárműadó</t>
  </si>
  <si>
    <t>Iparűzési adó</t>
  </si>
  <si>
    <t>Pótlékok, bírságok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</si>
  <si>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</si>
  <si>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</si>
  <si>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</si>
  <si>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</si>
  <si>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</si>
  <si>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Beszámítás összege</t>
  </si>
  <si>
    <t xml:space="preserve"> - Bölcsődei ellátás</t>
  </si>
  <si>
    <t xml:space="preserve"> - Rendszeres szoc segély 90%-ának normatív része</t>
  </si>
  <si>
    <t xml:space="preserve"> - Rendszeres gyvt. 100%-ának normatív része</t>
  </si>
  <si>
    <t xml:space="preserve"> - Lakásfenntartási támogatás 90%-ának normatív része</t>
  </si>
  <si>
    <t xml:space="preserve"> - Foglalkoztatást helyettesítő támogatás (80 %)</t>
  </si>
  <si>
    <t xml:space="preserve"> - Óvodáztatási támogatás (100)</t>
  </si>
  <si>
    <t xml:space="preserve"> - Közcélú foglalkozatatás támogatása normatív része</t>
  </si>
  <si>
    <t xml:space="preserve">Önkormányzati hivatal működésének támogatása </t>
  </si>
  <si>
    <t>Körjegyzőség 2013.</t>
  </si>
  <si>
    <t xml:space="preserve">Közös hiv. létszám: </t>
  </si>
  <si>
    <t>3,042393231 fő</t>
  </si>
  <si>
    <t>Elismert bér+jár.</t>
  </si>
  <si>
    <t>4.580 e Ft/fő</t>
  </si>
  <si>
    <t>Teljes költség:</t>
  </si>
  <si>
    <t>Település neve</t>
  </si>
  <si>
    <t>Alapköltség</t>
  </si>
  <si>
    <t>Létszáma alapján</t>
  </si>
  <si>
    <t>Havi ütemezés</t>
  </si>
  <si>
    <t>Teljes ktg.- Alap k.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</si>
  <si>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</si>
  <si>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</si>
  <si>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</si>
  <si>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</si>
  <si>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</si>
  <si>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 xml:space="preserve">MFB hitel utak felújítására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</si>
  <si>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</si>
  <si>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</si>
  <si>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</si>
  <si>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</si>
  <si>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</si>
  <si>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</si>
  <si>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</si>
  <si>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</si>
  <si>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</si>
  <si>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</si>
  <si>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</si>
  <si>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</si>
  <si>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</si>
  <si>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</si>
  <si>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</si>
  <si>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</si>
  <si>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</si>
  <si>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</si>
  <si>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</si>
  <si>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</si>
  <si>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</si>
  <si>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</si>
  <si>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</si>
  <si>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</si>
  <si>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</si>
  <si>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4. melléklet</t>
  </si>
  <si>
    <t>cafeteria</t>
  </si>
  <si>
    <t>Önkormányzati lakások lakbér bev.</t>
  </si>
  <si>
    <t>Víz-, csatornadíj bevételek (önk. lakások)</t>
  </si>
  <si>
    <t>Gázdíj (önk. lakások)</t>
  </si>
  <si>
    <t>Helységbérleti díjak</t>
  </si>
  <si>
    <t>Városi rendezvényekrendezvények)</t>
  </si>
  <si>
    <t>Működési célú tám értékú kiadás</t>
  </si>
  <si>
    <t>Működési célú pe átad</t>
  </si>
  <si>
    <t>mód.</t>
  </si>
  <si>
    <t>Kötelező feladatok:</t>
  </si>
  <si>
    <t>Építéshatóság</t>
  </si>
  <si>
    <t>Képviselőtestület kiadásai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</si>
  <si>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</si>
  <si>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</si>
  <si>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</si>
  <si>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</si>
  <si>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</si>
  <si>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</si>
  <si>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</si>
  <si>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</si>
  <si>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</si>
  <si>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</si>
  <si>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</si>
  <si>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</si>
  <si>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</si>
  <si>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</si>
  <si>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</si>
  <si>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Lakásfenntartási támogatás (90%)</t>
  </si>
  <si>
    <t>Ápolási díj - méltányosságból</t>
  </si>
  <si>
    <t>Szociális étkeztetés támogatása</t>
  </si>
  <si>
    <t>Eseti pénzbeli ellátások</t>
  </si>
  <si>
    <t>Rendkívüli gyermekvédelmi támogatás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</si>
  <si>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</si>
  <si>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</si>
  <si>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</si>
  <si>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</si>
  <si>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</si>
  <si>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</si>
  <si>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</si>
  <si>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</si>
  <si>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</si>
  <si>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</si>
  <si>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</si>
  <si>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</si>
  <si>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</si>
  <si>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</si>
  <si>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</si>
  <si>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</si>
  <si>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</si>
  <si>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</si>
  <si>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</si>
  <si>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</si>
  <si>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</si>
  <si>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</si>
  <si>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</si>
  <si>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</si>
  <si>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</si>
  <si>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</si>
  <si>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</si>
  <si>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</si>
  <si>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</si>
  <si>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</si>
  <si>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</si>
  <si>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</si>
  <si>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</si>
  <si>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</si>
  <si>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</si>
  <si>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r>
      <t>3 havi EURIBOR és 2,70 %:</t>
    </r>
    <r>
      <rPr>
        <b/>
        <sz val="12"/>
        <rFont val="Arial"/>
        <family val="2"/>
      </rPr>
      <t xml:space="preserve"> 8,7%</t>
    </r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</si>
  <si>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</si>
  <si>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</si>
  <si>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</si>
  <si>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</si>
  <si>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</si>
  <si>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</si>
  <si>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    szociális étkeztetés</t>
  </si>
  <si>
    <t xml:space="preserve">    házi segítségnyújtás</t>
  </si>
  <si>
    <t xml:space="preserve">    időskorúak nappali ellátása</t>
  </si>
  <si>
    <t>Hitelek összesen (lizing nélkül):</t>
  </si>
  <si>
    <t>Lízingdíj fűtéskorszerűsítésre</t>
  </si>
  <si>
    <t>Lízingdíj fűtéskorszerűsítés</t>
  </si>
  <si>
    <t xml:space="preserve"> - Szoc</t>
  </si>
  <si>
    <t>g. Pályázati támogatás visszafizetése</t>
  </si>
  <si>
    <t>Csurgó Kistérségi Többcélú Társulásnak sportalapra</t>
  </si>
  <si>
    <t>E.MISSZIÓ 210 eFt/hó</t>
  </si>
  <si>
    <t xml:space="preserve">   Közösségi Ház és a Sportcsarnok működésére a Csurgói Sportcsarnok Kft.-nek átadás</t>
  </si>
  <si>
    <t xml:space="preserve">Önkormányzat működőképessége megőrzését szolgáló kiegészítő támogatás </t>
  </si>
  <si>
    <t>Kötelező</t>
  </si>
  <si>
    <t>Önként vállalt</t>
  </si>
  <si>
    <t>Államigazgatási</t>
  </si>
  <si>
    <t xml:space="preserve">  -ebből állami támogatás</t>
  </si>
  <si>
    <t xml:space="preserve">Óvoda </t>
  </si>
  <si>
    <t xml:space="preserve">Áht.-n kívűlről működésre átvett pénzeszközök 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</si>
  <si>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</si>
  <si>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</si>
  <si>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</si>
  <si>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</si>
  <si>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</si>
  <si>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</si>
  <si>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</si>
  <si>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</si>
  <si>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</si>
  <si>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</si>
  <si>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</si>
  <si>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</si>
  <si>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</si>
  <si>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</si>
  <si>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</si>
  <si>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</si>
  <si>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</si>
  <si>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</si>
  <si>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</si>
  <si>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</si>
  <si>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</si>
  <si>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</si>
  <si>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</si>
  <si>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</si>
  <si>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</si>
  <si>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</si>
  <si>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</si>
  <si>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682002-112-Lakásgazdálkodás (Nem lakóingatlanok)</t>
  </si>
  <si>
    <t>841112 - 117 - Képviselő testület</t>
  </si>
  <si>
    <t>841126 - 166 - Többcélú Társulás munkaszervezete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</si>
  <si>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</si>
  <si>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</si>
  <si>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</si>
  <si>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</si>
  <si>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</si>
  <si>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</si>
  <si>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</si>
  <si>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</si>
  <si>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</si>
  <si>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</si>
  <si>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</si>
  <si>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5831141/882113</t>
  </si>
  <si>
    <t>Fők.szla/szakf.</t>
  </si>
  <si>
    <t>Egyéb dologi kiadás</t>
  </si>
  <si>
    <t>III. orvosi körzet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</si>
  <si>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</si>
  <si>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</si>
  <si>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</si>
  <si>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</si>
  <si>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</si>
  <si>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</si>
  <si>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</si>
  <si>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</si>
  <si>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</si>
  <si>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 xml:space="preserve">Költségvetés 2012.         </t>
  </si>
  <si>
    <t xml:space="preserve">   Hungarnet tagdíj</t>
  </si>
  <si>
    <t>Sportszervezetek támogatás</t>
  </si>
  <si>
    <t>Bejárók normatívája</t>
  </si>
  <si>
    <t>Pénzmaradvány</t>
  </si>
  <si>
    <t>jogcím kötelezettségvállalással terhelt</t>
  </si>
  <si>
    <t>Működésre átvett támogatás</t>
  </si>
  <si>
    <t>Csurgó Városi Iskolák és Óvodák</t>
  </si>
  <si>
    <t>Szabóné 2012 évi számlái 3908745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</si>
  <si>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</si>
  <si>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</si>
  <si>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</si>
  <si>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</si>
  <si>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Fenálló hitelállomány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</si>
  <si>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</si>
  <si>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</si>
  <si>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</si>
  <si>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</si>
  <si>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</si>
  <si>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</si>
  <si>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</si>
  <si>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</si>
  <si>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</si>
  <si>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</si>
  <si>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8. melléklet</t>
  </si>
  <si>
    <t>1. Ellátottak térítési díjának, illetve kártérítésének méltányossági alapon történő elengedésének összege</t>
  </si>
  <si>
    <t>3. Helyi adónál, gépjárműadónál biztosított kedvezmény, mentesség összege adónemenként</t>
  </si>
  <si>
    <t>4. Helyiségek, eszközök hasznosításából szátmazó bevételből nyújtott kedvezmény, mentesség összege</t>
  </si>
  <si>
    <t>5. Egyéb nyújtott kedvezmény vagy kölcsön elengedésének összege</t>
  </si>
  <si>
    <t>2. Lakosság részére lakásépítéshez, lakásfelújításhoz nyújtott kölcsönök elengedésének összege</t>
  </si>
  <si>
    <t>jogcíme (jellege)</t>
  </si>
  <si>
    <t>összege (e FT)</t>
  </si>
  <si>
    <t>összege (eFt)</t>
  </si>
  <si>
    <t>2024.</t>
  </si>
  <si>
    <t>2025.</t>
  </si>
  <si>
    <t>2026.</t>
  </si>
  <si>
    <t>3. Hitelek</t>
  </si>
  <si>
    <t>Szellemi tevékenység</t>
  </si>
  <si>
    <t>MŰKÖDÉSI CÉLÚ TÁMOGATÁSÉRTÉKŰ KIADÁS</t>
  </si>
  <si>
    <t>MŰKÖDÉSI CÉLÚ TÁMOGATÁSÉRTÉKŰ KIADÁSOK ÖSSZESEN:</t>
  </si>
  <si>
    <t>Mód. előirányzat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</si>
  <si>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</si>
  <si>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</si>
  <si>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</si>
  <si>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</si>
  <si>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</si>
  <si>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</si>
  <si>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</si>
  <si>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</si>
  <si>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</si>
  <si>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</si>
  <si>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</si>
  <si>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</si>
  <si>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</si>
  <si>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841403-Városgazdálkodás</t>
  </si>
  <si>
    <t>Közfoglalkoztatásra Munkaügyi Központtól</t>
  </si>
  <si>
    <t>OEP- től átvett</t>
  </si>
  <si>
    <t>Szilajka Eszter</t>
  </si>
  <si>
    <t>Polgárné Horváth Zsuzsanna</t>
  </si>
  <si>
    <t>8405500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</si>
  <si>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</si>
  <si>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</si>
  <si>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</si>
  <si>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</si>
  <si>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</si>
  <si>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3 havi BUBOR és 3,25%; 9,25%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</si>
  <si>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</si>
  <si>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</si>
  <si>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</si>
  <si>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</si>
  <si>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</si>
  <si>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Rehabilitációs hozzájárulás 2013.</t>
  </si>
  <si>
    <t>CKÖ támogatás (központosított és önkormányzati)</t>
  </si>
  <si>
    <t>Festetics ösztöndíj</t>
  </si>
  <si>
    <t>381152..</t>
  </si>
  <si>
    <t>Kovács Tamás</t>
  </si>
  <si>
    <t>ÁROP támogatás Polgármesteri Hivatal szervezetfejlesztésére</t>
  </si>
  <si>
    <t>4641…</t>
  </si>
  <si>
    <t>Kamat kondíciók</t>
  </si>
  <si>
    <t>mozgókönyvtár 2012. évi fel nem használt</t>
  </si>
  <si>
    <t>Alszámla</t>
  </si>
  <si>
    <t>Folyószámlahitel kamata</t>
  </si>
  <si>
    <t>140 mill. Hitel.</t>
  </si>
  <si>
    <t>140 mill. Hitel. Kamata</t>
  </si>
  <si>
    <t>Működési hitel</t>
  </si>
  <si>
    <t>Állam támogatása (60%)</t>
  </si>
  <si>
    <t>V. Költségvetési bevétel és kiadás különbözete (hiány)</t>
  </si>
  <si>
    <t>1. költségvetési működési hiány belső finanszírozása: előző évi pénzmaradvány igénybevétele</t>
  </si>
  <si>
    <t>2. Költségvetési működési hiány külső finanszírozása: működési célú hitelfelvétel</t>
  </si>
  <si>
    <t>Adósságkonszolidáció révén kapott támogatás</t>
  </si>
  <si>
    <t>"Hagyomány és Innováció" Iskolai pályázat EU önerő</t>
  </si>
  <si>
    <t>Csurgói Ivóvízminőség-javító program</t>
  </si>
  <si>
    <t>Hagyomány és Innováció pályázat (előleg)</t>
  </si>
  <si>
    <t>1. Csurgói Ivóvízminőség-javító program (KEOP)</t>
  </si>
  <si>
    <t>Csurgói Ivóvízminőség-javító program EU Önerő Alap</t>
  </si>
  <si>
    <t>Városrehabilitáció EU Önerő Alap támogatás</t>
  </si>
  <si>
    <t>Önerő támogatás</t>
  </si>
  <si>
    <t>"Hagyomány és Innováció" Iskolai pályázat áfa</t>
  </si>
  <si>
    <t>Csurgói Ivóvízminőség-javító program áfa</t>
  </si>
  <si>
    <t xml:space="preserve">   b. Csurgó Belterületi Vízrendezés</t>
  </si>
  <si>
    <t xml:space="preserve">   c. "Hagyomány és Innováció" Iskolai pályázat (DDOP)</t>
  </si>
  <si>
    <t>d. Csurgói Ivóvízminőség-javító program (KEOP)</t>
  </si>
  <si>
    <t>e. Adósságkonszolidáció révén kapott támogatás</t>
  </si>
  <si>
    <t>b. Városrehabilitáció (BM önerő)</t>
  </si>
  <si>
    <t>c. Csurgó Belterületi Vízrendezés (EU önerő alap)</t>
  </si>
  <si>
    <t>CKÖ működésére központosított támogatás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</si>
  <si>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</si>
  <si>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</si>
  <si>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</si>
  <si>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</si>
  <si>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</si>
  <si>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</si>
  <si>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</si>
  <si>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</si>
  <si>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</si>
  <si>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</si>
  <si>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</si>
  <si>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</si>
  <si>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</si>
  <si>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</si>
  <si>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</si>
  <si>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</si>
  <si>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</si>
  <si>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</si>
  <si>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</si>
  <si>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</si>
  <si>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</si>
  <si>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 xml:space="preserve"> ebből állami támogatás</t>
  </si>
  <si>
    <t>a. Városrehabilitáció (LHH)</t>
  </si>
  <si>
    <t>(53.612.818 Ft/év + infláció 4,2%)  :1,27 X 0,60</t>
  </si>
  <si>
    <t>Korrigált saját bevétel 50%-a: (HITELKORLÁT)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</si>
  <si>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</si>
  <si>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</si>
  <si>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</si>
  <si>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</si>
  <si>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</si>
  <si>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</si>
  <si>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</si>
  <si>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</si>
  <si>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</si>
  <si>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</si>
  <si>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b) költségvetési működési hiány külső finanszírozása: Önhiki támogatás</t>
  </si>
  <si>
    <t>1.2 melléklet</t>
  </si>
  <si>
    <t>2. melléklet</t>
  </si>
  <si>
    <t>4.1 melléklet</t>
  </si>
  <si>
    <t>4.2 melléklet</t>
  </si>
  <si>
    <t>5. melléklet</t>
  </si>
  <si>
    <t>6. melléklet</t>
  </si>
  <si>
    <t>7. melléklet</t>
  </si>
  <si>
    <t>9. melléklet</t>
  </si>
  <si>
    <t>Csurgó Város Önkormányzatának címrendje 2012. évben</t>
  </si>
  <si>
    <t>10. melléklet</t>
  </si>
  <si>
    <t>Házasságkötések díja</t>
  </si>
  <si>
    <t>15*10000</t>
  </si>
  <si>
    <t>Eljárási díj</t>
  </si>
  <si>
    <t>Működési bevétel összesen:</t>
  </si>
  <si>
    <t>Igazgatási szolgáltatás (Építéshatóság, egyéb)</t>
  </si>
  <si>
    <t>Bírságok</t>
  </si>
  <si>
    <t>Önkormányzati Igazgatás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</si>
  <si>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</si>
  <si>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</si>
  <si>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</si>
  <si>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</si>
  <si>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</si>
  <si>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</si>
  <si>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</si>
  <si>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</si>
  <si>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</si>
  <si>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</si>
  <si>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</si>
  <si>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</si>
  <si>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</si>
  <si>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</si>
  <si>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</si>
  <si>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</si>
  <si>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</si>
  <si>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</si>
  <si>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</si>
  <si>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</si>
  <si>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</si>
  <si>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</si>
  <si>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</si>
  <si>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</si>
  <si>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</si>
  <si>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</si>
  <si>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</si>
  <si>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</si>
  <si>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</si>
  <si>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</si>
  <si>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</si>
  <si>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</si>
  <si>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</si>
  <si>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</si>
  <si>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</si>
  <si>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</si>
  <si>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</si>
  <si>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</si>
  <si>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</si>
  <si>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</si>
  <si>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</si>
  <si>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</si>
  <si>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</si>
  <si>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Iskolának átadott</t>
  </si>
  <si>
    <t xml:space="preserve">   Iskolának átadott</t>
  </si>
  <si>
    <t>Többcélú Társulás (Sportalap)</t>
  </si>
  <si>
    <t>Nagyváthynak átadott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</si>
  <si>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</si>
  <si>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</si>
  <si>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</si>
  <si>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</si>
  <si>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</si>
  <si>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</si>
  <si>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</si>
  <si>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</si>
  <si>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</si>
  <si>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</si>
  <si>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</si>
  <si>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</si>
  <si>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</si>
  <si>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</si>
  <si>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</si>
  <si>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</si>
  <si>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</si>
  <si>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</si>
  <si>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</si>
  <si>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</si>
  <si>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</si>
  <si>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</si>
  <si>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</si>
  <si>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</si>
  <si>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</si>
  <si>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</si>
  <si>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</si>
  <si>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</si>
  <si>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</si>
  <si>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</si>
  <si>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</si>
  <si>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</si>
  <si>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</si>
  <si>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</si>
  <si>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</si>
  <si>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</si>
  <si>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</si>
  <si>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</si>
  <si>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</si>
  <si>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</si>
  <si>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</si>
  <si>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</si>
  <si>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</si>
  <si>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</si>
  <si>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</si>
  <si>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</si>
  <si>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</si>
  <si>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</si>
  <si>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</si>
  <si>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</si>
  <si>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INTÉZMÉNYI MŰKÖDÉSI BEVÉTELEK ÖSSZESEN:</t>
  </si>
  <si>
    <t>ÖNKORMÁNYZATAOK SAJÁTOS MŰKÖDÉSI BEVÉTELEI</t>
  </si>
  <si>
    <t>ÖNKORMÁNYZATOK SAJÁTOS MŰKÖDÉSI BEV. ÖSSZESEN:</t>
  </si>
  <si>
    <t>KÖLTSÉGVETÉSI TÁMOGATÁSOK</t>
  </si>
  <si>
    <t>MŰKÖDÉSI CÉLÚ TÁMOGATÁS ÉRTÉKŰ BEVÉTEL</t>
  </si>
  <si>
    <t xml:space="preserve">      b) Budapest Bank épülete</t>
  </si>
  <si>
    <t xml:space="preserve">      c) Önkormányzati lakások értékesítése</t>
  </si>
  <si>
    <t xml:space="preserve">      d) Lőtér értékesítése</t>
  </si>
  <si>
    <t>a. Városrehabilitáció (EU önerő alap)</t>
  </si>
  <si>
    <t xml:space="preserve"> 1. Városi Óvodák</t>
  </si>
  <si>
    <t>3. Előző évi felhalmozási célú előirányzat - maradvány, pénzmaradvány átvétel</t>
  </si>
  <si>
    <t xml:space="preserve"> 5. MFB hitel Mesevár Óvoda, Eötvös Iskola felújítására (2006.)</t>
  </si>
  <si>
    <t xml:space="preserve"> 6. Körforgalom önerejére MFB hitel</t>
  </si>
  <si>
    <t xml:space="preserve"> 7. TEKI,LEKI,CEDE (2009.) önerejére MFB hitel</t>
  </si>
  <si>
    <t xml:space="preserve"> 8. Eötvös Iskola világításkorszerűsítésre</t>
  </si>
  <si>
    <t>9. MFB hitel leaderes felújítások TEUT felújításo könerejére kamat törlesztés</t>
  </si>
  <si>
    <t xml:space="preserve"> 4. Saját erő finanszírozása (közház, könyvtár, utak felújítása, Pmhivatal)</t>
  </si>
  <si>
    <t>Hosszúlejáratú fejl hitel 2011. évi törl + kamat (-)</t>
  </si>
  <si>
    <t xml:space="preserve">                   Rövid lejáratú hitelek törlesztése kamattal</t>
  </si>
  <si>
    <t xml:space="preserve"> 4. MFB hitel - utak felújítására (2006.)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</si>
  <si>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</si>
  <si>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</si>
  <si>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</si>
  <si>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</si>
  <si>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</si>
  <si>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</si>
  <si>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</si>
  <si>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</si>
  <si>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</si>
  <si>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</si>
  <si>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MFB hitel leaderes felújítások TEUT felújításo könerejére tőketörlesztés</t>
  </si>
  <si>
    <t>3. Egyéb felhalmozási bevételek</t>
  </si>
  <si>
    <t>III. Támogatási kölcsönök visszatérülése, igénybevétele</t>
  </si>
  <si>
    <t>IV. Költségvetési bevétel és kiadás különbözete (hiány)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</si>
  <si>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</si>
  <si>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</si>
  <si>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</si>
  <si>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</si>
  <si>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</si>
  <si>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</si>
  <si>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</si>
  <si>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</si>
  <si>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</si>
  <si>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Szociális tv.114.§-115.§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</si>
  <si>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</si>
  <si>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</si>
  <si>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</si>
  <si>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</si>
  <si>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</si>
  <si>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</si>
  <si>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</si>
  <si>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</si>
  <si>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</si>
  <si>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</si>
  <si>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</si>
  <si>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</si>
  <si>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</si>
  <si>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</si>
  <si>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Csurgó Város Önkormányzatának több éves kihatással járó feladatainak előirányzata éves bontásban</t>
  </si>
  <si>
    <t>Feladat</t>
  </si>
  <si>
    <t>a) fűtéskorszerűsítés</t>
  </si>
  <si>
    <t xml:space="preserve">b) Sportcsarnok fejlesztésre átadás 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</si>
  <si>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</si>
  <si>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</si>
  <si>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</si>
  <si>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</si>
  <si>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</si>
  <si>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</si>
  <si>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</si>
  <si>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Lantos Sándor</t>
  </si>
  <si>
    <t>Részmunkaidőben foglalkoztatott munkatörvénykönyves</t>
  </si>
  <si>
    <t>IV. Települési önkormányzatok kulturális feladatainak támogatása</t>
  </si>
  <si>
    <t>Járási Hivataltól feladatokra átvett</t>
  </si>
  <si>
    <t>Kuti Dóra</t>
  </si>
  <si>
    <t>Ferletyák Márk</t>
  </si>
  <si>
    <t>Ambrus Anita</t>
  </si>
  <si>
    <t>Szlávecz Jánosné</t>
  </si>
  <si>
    <t>Futó Katalin</t>
  </si>
  <si>
    <t>Hermann Brigitta</t>
  </si>
  <si>
    <t>30.</t>
  </si>
  <si>
    <t>31.</t>
  </si>
  <si>
    <t>32.</t>
  </si>
  <si>
    <t>33.</t>
  </si>
  <si>
    <t>34.</t>
  </si>
  <si>
    <t>35.</t>
  </si>
  <si>
    <t>belvíz 47 fő 75500 02.01-12.31</t>
  </si>
  <si>
    <t>8 fő 96800 02.01-12.31</t>
  </si>
  <si>
    <t>illegális hulladék 5 fő 75500 04.01-12.31</t>
  </si>
  <si>
    <t>közút 96800 1 fő 03.01-12.31</t>
  </si>
  <si>
    <t>mezőgazdasági 96800 1 fő 03.01-12.31</t>
  </si>
  <si>
    <t>mezőgazdasági 75500 13 fő 03.01-12.31</t>
  </si>
  <si>
    <t>mg-i földutak 75500 47 fő 04.01-12.31</t>
  </si>
  <si>
    <t>mg-i földutak 96800 3 fő 04.01-12.31</t>
  </si>
  <si>
    <t>értékteremtő 3 hó 96800*1</t>
  </si>
  <si>
    <t>értékteremtő 3 hó 39 fő 75500</t>
  </si>
  <si>
    <t>közút 75500 9 fő 03.01-12.31</t>
  </si>
  <si>
    <t>Telefon</t>
  </si>
  <si>
    <t>telefon 5000 Ft/hó+12000/hó</t>
  </si>
  <si>
    <t>680001 - 112 - Lakásgazdálkodás (lakóingatlan bérbeadása, üzemeltetése)</t>
  </si>
  <si>
    <t>Díjak, egyéb befizetések ei 88571*1,042*4</t>
  </si>
  <si>
    <t>Egyéb üz. Fennt.</t>
  </si>
  <si>
    <t xml:space="preserve"> - Villtek - tűzjelző</t>
  </si>
  <si>
    <t xml:space="preserve"> - Magyar Kémény - sorseprés</t>
  </si>
  <si>
    <t xml:space="preserve"> - Saubermacher- szemétszállítás</t>
  </si>
  <si>
    <t xml:space="preserve">OEP-től átvett  </t>
  </si>
  <si>
    <t>Számítógépek és tartozékok</t>
  </si>
  <si>
    <t>Magzati szívhangmérő készülék</t>
  </si>
  <si>
    <t>kb.</t>
  </si>
  <si>
    <t>hótolás</t>
  </si>
  <si>
    <t>munkavédelmi oktatás</t>
  </si>
  <si>
    <t xml:space="preserve"> - Páva szikvíz</t>
  </si>
  <si>
    <t xml:space="preserve"> - Piro-komplex tűzjelző</t>
  </si>
  <si>
    <t>gyepmesteri szolg 101600+infl.Ft/hó+27%</t>
  </si>
  <si>
    <t xml:space="preserve"> - Takács János- rágcsálóírtás</t>
  </si>
  <si>
    <t xml:space="preserve"> - Szilvási - szökőkút tisztítás</t>
  </si>
  <si>
    <t xml:space="preserve"> - Invest Autóház - műszaki vizsga, egyéb</t>
  </si>
  <si>
    <t>biztosítások KDE-560, KNX-317, GYZ-153</t>
  </si>
  <si>
    <t>?</t>
  </si>
  <si>
    <t>MVM Partner 500 eFt/hó</t>
  </si>
  <si>
    <t>"Bursa Hungarica" támogatása</t>
  </si>
  <si>
    <t>Magyar Önkormányzatok Szövetsége tagdíj</t>
  </si>
  <si>
    <t>1.</t>
  </si>
  <si>
    <t>2.</t>
  </si>
  <si>
    <t>3.</t>
  </si>
  <si>
    <t>újság kiadás</t>
  </si>
  <si>
    <t>Éleslátást biztosító szemüveg</t>
  </si>
  <si>
    <t>Kocsis Gyöngyi</t>
  </si>
  <si>
    <t>1. Fejlesztési feladatok</t>
  </si>
  <si>
    <t>2. Különféle szolgáltatások</t>
  </si>
  <si>
    <t>Városüzemeltetés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</si>
  <si>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</si>
  <si>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</si>
  <si>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</si>
  <si>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</si>
  <si>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</si>
  <si>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</si>
  <si>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</si>
  <si>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Közgyógyellátás (méltányosságból</t>
  </si>
  <si>
    <t>Rehabilitációs hozzájárulás</t>
  </si>
  <si>
    <t>Mesevár Óvoda felújítása, Eötvös Iskola tető, konyha, jármű</t>
  </si>
  <si>
    <t>2008.</t>
  </si>
  <si>
    <t>2012.</t>
  </si>
  <si>
    <t>2014.</t>
  </si>
  <si>
    <t>2015.</t>
  </si>
  <si>
    <t>2016.</t>
  </si>
  <si>
    <t>infláció %</t>
  </si>
  <si>
    <t>tőketörl.</t>
  </si>
  <si>
    <t>Fűtéslízing</t>
  </si>
  <si>
    <t>Pályázati tám.egyéb átv.</t>
  </si>
  <si>
    <t>ezer Ft</t>
  </si>
  <si>
    <t xml:space="preserve">1 bejáróra fizetendő 100 % (K.T.hat.), Ft </t>
  </si>
  <si>
    <t>Normatív támogatás (3. sz.mell.bejáró nélk.)</t>
  </si>
  <si>
    <t>Normatív támogatás (8. sz.mell.)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</si>
  <si>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</si>
  <si>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</si>
  <si>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</si>
  <si>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</si>
  <si>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</si>
  <si>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</si>
  <si>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</si>
  <si>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</si>
  <si>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</si>
  <si>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</si>
  <si>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</si>
  <si>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</si>
  <si>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</si>
  <si>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</si>
  <si>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</si>
  <si>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</si>
  <si>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Csurgónagymarton</t>
  </si>
  <si>
    <t>Somogycsicsó</t>
  </si>
  <si>
    <t>Szenta</t>
  </si>
  <si>
    <t>Prémium program támogatása</t>
  </si>
  <si>
    <t>Gyékényes</t>
  </si>
  <si>
    <t>SX 20000Ft/év+27%</t>
  </si>
  <si>
    <t>Katawin 27560Ft/év+27%</t>
  </si>
  <si>
    <t>Matáv 130000Ft/hó+27%</t>
  </si>
  <si>
    <t>ebből 2012. évi pénzmaradvány</t>
  </si>
  <si>
    <t>előző évi fejl. Célú p.maradvány</t>
  </si>
  <si>
    <t>Pályázati fejl.célú bevétel</t>
  </si>
  <si>
    <t>Kiadások</t>
  </si>
  <si>
    <t xml:space="preserve"> - Óvoda</t>
  </si>
  <si>
    <t xml:space="preserve"> - Konyha</t>
  </si>
  <si>
    <t xml:space="preserve"> - Könyvtár</t>
  </si>
  <si>
    <t>Hiány</t>
  </si>
  <si>
    <t>Normatíva</t>
  </si>
  <si>
    <t>iskola és óvoda</t>
  </si>
  <si>
    <t>Önk. Tám.</t>
  </si>
  <si>
    <t>Kissné Szőke Lili</t>
  </si>
  <si>
    <t>Fábián Anita</t>
  </si>
  <si>
    <t>jubileum: 2013.07.09</t>
  </si>
  <si>
    <t>Datanet 20000Ft/hó+27%</t>
  </si>
  <si>
    <t>Pannon 100000Ft/hó+27%</t>
  </si>
  <si>
    <t>Seat biztosítás GFB 8697Ft/negyedév</t>
  </si>
  <si>
    <t>értékbecslés kb15db*20eFt+27%</t>
  </si>
  <si>
    <t>takarnet+tul.lapok+27%</t>
  </si>
  <si>
    <t>gépjármű karbantartás 431eFt+27%</t>
  </si>
  <si>
    <t>földhivatali adatszolg.díja 2db 2*70000</t>
  </si>
  <si>
    <t>ügyvédi költség, szaktanácsadás, közbeszerzés, pályázatírás 120eft+áfa</t>
  </si>
  <si>
    <t>nagyértékű</t>
  </si>
  <si>
    <t>Horváth gyula megbiz.díj</t>
  </si>
  <si>
    <t>(300 fő x 5.000 Ft/fő/hó x 12 hó)</t>
  </si>
  <si>
    <t>(20 fő x 25.650 Ft/fő/hó x 12 hó)</t>
  </si>
  <si>
    <t>300főX12hóX22800Ft</t>
  </si>
  <si>
    <t>(334 fő x 3000 Ft x 3 alk.)</t>
  </si>
  <si>
    <t>(5 fő x 150.000 Ft)</t>
  </si>
  <si>
    <t>Csurgó Város bevételeinek és kiadásainak 2013. évi előirányzatai</t>
  </si>
  <si>
    <t>3. Hagyomány és Innováció oktatási pályázat DDOP (Iskola)</t>
  </si>
  <si>
    <t>1.Városrehabilitáció LHH</t>
  </si>
  <si>
    <t>2. Csurgó Belterületi Vízrendezés</t>
  </si>
  <si>
    <t>4. Csurgói Ivóvízminőség-javító program</t>
  </si>
  <si>
    <t>Önerő Alap támogatása</t>
  </si>
  <si>
    <t>Óvoda</t>
  </si>
  <si>
    <t>Szoc</t>
  </si>
  <si>
    <t>Hivatal</t>
  </si>
  <si>
    <t>Közös önkormányzati hivatalra településektől átvett (állami)</t>
  </si>
  <si>
    <t>Közös hivatalra átvett</t>
  </si>
  <si>
    <t>Önk. Össz.</t>
  </si>
  <si>
    <t xml:space="preserve">   Nagyváthynak átadott</t>
  </si>
  <si>
    <t>7. TIOP pályázat támogatás visszafizetése</t>
  </si>
  <si>
    <t xml:space="preserve">Alszámlára fizetett </t>
  </si>
  <si>
    <t>…/2013. (…..)  rendelet</t>
  </si>
  <si>
    <t>tartalékok előirányzata 2013. évben</t>
  </si>
  <si>
    <t>Csurgó Város Önkormányzat likviditási és finanszírozási terve 2013. évre</t>
  </si>
  <si>
    <t>Csurgó Város Önkormányzatának 2013. évi közvetett támogatásai</t>
  </si>
  <si>
    <t>Csurgó Város Önkormányzatának európai uniós támogatással megvalósuló projektjei 2013. évben</t>
  </si>
  <si>
    <t>Város Szociális Intézmény</t>
  </si>
  <si>
    <t>emelt 10fő*20000Ft*1 alkalom</t>
  </si>
  <si>
    <t>(10főX23600X8hó)</t>
  </si>
  <si>
    <t>Rendszeres pénzbeli ellátások összesen:</t>
  </si>
  <si>
    <t>Rendszeres gyermekvédelmi támogatás (100%)</t>
  </si>
  <si>
    <t>I. Önkormányzatok működésének általános támogatása</t>
  </si>
  <si>
    <t>II. Önkormányzat egyes köznevelési és gyermekétkeztetési feladatainak tám-a</t>
  </si>
  <si>
    <t>1. Óvodapedagógusok és az ő nevelő munkájukat segítők bértámogatása</t>
  </si>
  <si>
    <t>2. Óvodaműködtetési támogatás</t>
  </si>
  <si>
    <t>3. Ingyenes és kedvezményes gyermekétkeztetés támogatása össz.</t>
  </si>
  <si>
    <t xml:space="preserve"> - Ingyenes és kedvezményes intézményi étkeztetés-óvoda</t>
  </si>
  <si>
    <t xml:space="preserve"> - Ingyenes és kedvezményes intézményi étkeztetés-ált.iskola</t>
  </si>
  <si>
    <t xml:space="preserve"> - Ingyenes és kedvezményes intézményi étkeztetés-gimnázium</t>
  </si>
  <si>
    <t xml:space="preserve"> - Ingyenes és kedvezményes intézményi étkeztetés-szakközépisk.</t>
  </si>
  <si>
    <t xml:space="preserve"> - Ingyenes és kedvezményes intézményi étkeztetés-szakiskola</t>
  </si>
  <si>
    <t xml:space="preserve"> - Ingyenes és kedvezményes intézményi étkeztetés-kollégium</t>
  </si>
  <si>
    <t>4. Társulás által fenntartott óvodákba bejáró gyermekek utaztatásának tám-a</t>
  </si>
  <si>
    <t>III. Települési önkormányzatok szociális és gyermekjóléti feladatainak támogatása</t>
  </si>
  <si>
    <t xml:space="preserve"> - Szociális étkeztetés támogatása</t>
  </si>
  <si>
    <t xml:space="preserve"> - Házi segítségnyújtás</t>
  </si>
  <si>
    <t xml:space="preserve"> - Időskorúak nappali intézményi ellátása</t>
  </si>
  <si>
    <t>Kisértékű t.eszk. Beszerzése</t>
  </si>
  <si>
    <t>települési vízellátás</t>
  </si>
  <si>
    <t>kéményseprés 13600Ft/év+4,8%+5%+27%</t>
  </si>
  <si>
    <t>(szemétszállítás 776000Ft/év+4,9%+5%+27%</t>
  </si>
  <si>
    <t>(500fő*5800Ft*2 alkalom)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</si>
  <si>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</si>
  <si>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</si>
  <si>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</si>
  <si>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</si>
  <si>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 xml:space="preserve">étkezési hj.: </t>
  </si>
  <si>
    <t>Óvodáztatási támogatás</t>
  </si>
  <si>
    <t>alap 10fő*10000Ft*2alkalom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</si>
  <si>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</si>
  <si>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</si>
  <si>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</si>
  <si>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</si>
  <si>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</si>
  <si>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</si>
  <si>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</si>
  <si>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</si>
  <si>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</si>
  <si>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</si>
  <si>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</si>
  <si>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</si>
  <si>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</si>
  <si>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</si>
  <si>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</si>
  <si>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</si>
  <si>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Negyedévente Ft</t>
  </si>
  <si>
    <t>Szállítási szolgáltatás</t>
  </si>
  <si>
    <t>Opten jogtár 96048 Ft/év+27 %</t>
  </si>
  <si>
    <t>Cégtár 41316 Ft/év+27%</t>
  </si>
  <si>
    <t>Somogyi Hírlap 29600 Ft/év+5%</t>
  </si>
  <si>
    <t>posta  3500eFt/év+27%</t>
  </si>
  <si>
    <t>WinSzoc 51000/negyedév+27%</t>
  </si>
  <si>
    <t>Szabóné 2012 évi számlái 3077752eFt+27%</t>
  </si>
  <si>
    <t>(szemétszállítás 448819Ft/év+27%</t>
  </si>
  <si>
    <t>Seat biztosítás Casco 31396Ft/negyedév</t>
  </si>
  <si>
    <t>2012 évi adatok alapján</t>
  </si>
  <si>
    <t>gépjármű karbantartás 323eFt+27%</t>
  </si>
  <si>
    <t>Pressel Kft.</t>
  </si>
  <si>
    <t xml:space="preserve"> Informatika 220500Ft/hó+27%</t>
  </si>
  <si>
    <t>Kovács Andrásné</t>
  </si>
  <si>
    <t>2012. dec</t>
  </si>
  <si>
    <t>2013. jan</t>
  </si>
  <si>
    <t>2013. febr</t>
  </si>
  <si>
    <t>2013. márc</t>
  </si>
  <si>
    <t>2013. ápr</t>
  </si>
  <si>
    <t>2013. máj</t>
  </si>
  <si>
    <t>2013. jún</t>
  </si>
  <si>
    <t>2013. júl</t>
  </si>
  <si>
    <t>Radákné Pallag Mónika</t>
  </si>
  <si>
    <t>Vargáné Papp Ágnes</t>
  </si>
  <si>
    <t>1420800</t>
  </si>
  <si>
    <t>Tóth Rita</t>
  </si>
  <si>
    <t>Magyaros Rita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</si>
  <si>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</si>
  <si>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</si>
  <si>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</si>
  <si>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</si>
  <si>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</si>
  <si>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</si>
  <si>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Működési bevételek összesen</t>
  </si>
  <si>
    <t>További munkaviszonyt létesítők juttatásai</t>
  </si>
  <si>
    <t>Állományba nem tartozók egyéb juttatásai</t>
  </si>
  <si>
    <t>841126 - 113 - Önkormányzati igazgatás</t>
  </si>
  <si>
    <t>közlekedési költségtérítése</t>
  </si>
  <si>
    <t>Bérek</t>
  </si>
  <si>
    <t>Házi orvosi körzet</t>
  </si>
  <si>
    <t>Védőnők</t>
  </si>
  <si>
    <t>Képviselőtestület</t>
  </si>
  <si>
    <t>Közmunka</t>
  </si>
  <si>
    <t xml:space="preserve">Egyéb megbízási díjak </t>
  </si>
  <si>
    <t>Illetménykiegészítés</t>
  </si>
  <si>
    <t>III. háziorvosi körzet</t>
  </si>
  <si>
    <t>Járulékok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</si>
  <si>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</si>
  <si>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</si>
  <si>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</si>
  <si>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</si>
  <si>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</si>
  <si>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</si>
  <si>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</si>
  <si>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</si>
  <si>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</si>
  <si>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</si>
  <si>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</si>
  <si>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</si>
  <si>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</si>
  <si>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</si>
  <si>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</si>
  <si>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</si>
  <si>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Lejárat éve</t>
  </si>
  <si>
    <t>(orvosi vizsgálat) 6200Ft/fő*45 fő</t>
  </si>
  <si>
    <t>Folyósítás éve</t>
  </si>
  <si>
    <t>Folyósított összeg</t>
  </si>
  <si>
    <t>nyelvpótlék</t>
  </si>
  <si>
    <t>Jubileumi jutalom</t>
  </si>
  <si>
    <t>Végkielégítés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</si>
  <si>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</si>
  <si>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</si>
  <si>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</si>
  <si>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</si>
  <si>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</si>
  <si>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</si>
  <si>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</si>
  <si>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</si>
  <si>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</si>
  <si>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</si>
  <si>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</si>
  <si>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</si>
  <si>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</si>
  <si>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</si>
  <si>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</si>
  <si>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</si>
  <si>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>Egyéb üzemeltetési, fenntartási szolgáltatások</t>
  </si>
  <si>
    <t>Intézmény neve</t>
  </si>
  <si>
    <t>Dologi kiad.</t>
  </si>
  <si>
    <t>Személyi juttat.</t>
  </si>
  <si>
    <t>Kiadások összesen</t>
  </si>
  <si>
    <t>Bevételek összesen</t>
  </si>
  <si>
    <t>Megnevezés</t>
  </si>
  <si>
    <t>Összesen</t>
  </si>
  <si>
    <t>a)</t>
  </si>
  <si>
    <t>b)</t>
  </si>
  <si>
    <t>2004.</t>
  </si>
  <si>
    <t>2023.</t>
  </si>
  <si>
    <t>2006.</t>
  </si>
  <si>
    <t>2013.</t>
  </si>
  <si>
    <t>Fejlesztési hitelek kiváltására felvett hitel</t>
  </si>
  <si>
    <t>2007.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</si>
  <si>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</si>
  <si>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</si>
  <si>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</si>
  <si>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</si>
  <si>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</si>
  <si>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</si>
  <si>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</si>
  <si>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</si>
  <si>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</si>
  <si>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</si>
  <si>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</si>
  <si>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</si>
  <si>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</si>
  <si>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</si>
  <si>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</si>
  <si>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</si>
  <si>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</si>
  <si>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</si>
  <si>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</si>
  <si>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</si>
  <si>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</si>
  <si>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</si>
  <si>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</si>
  <si>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</si>
  <si>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</si>
  <si>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</si>
  <si>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</si>
  <si>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</si>
  <si>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</si>
  <si>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</si>
  <si>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</si>
  <si>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</si>
  <si>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</si>
  <si>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</si>
  <si>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</si>
  <si>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</si>
  <si>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</si>
  <si>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</si>
  <si>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</si>
  <si>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ÖSSZESEN:</t>
  </si>
  <si>
    <t>1. Városi Iskolák és Óvodák</t>
  </si>
  <si>
    <t>2012. aug</t>
  </si>
  <si>
    <t>2012. szept</t>
  </si>
  <si>
    <t>2012. okt</t>
  </si>
  <si>
    <t>2012. nov</t>
  </si>
  <si>
    <t>Gombor Brigitta</t>
  </si>
  <si>
    <t>Ilia-Sikesdi Veronika</t>
  </si>
  <si>
    <t>Csenei Áron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</si>
  <si>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</si>
  <si>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</si>
  <si>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</si>
  <si>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</si>
  <si>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</si>
  <si>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</si>
  <si>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</si>
  <si>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</si>
  <si>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</si>
  <si>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</si>
  <si>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</si>
  <si>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</si>
  <si>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</si>
  <si>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</si>
  <si>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</si>
  <si>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</si>
  <si>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</si>
  <si>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</si>
  <si>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</si>
  <si>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</si>
  <si>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CSKTT-től köt feladatokra átvett normatíva</t>
  </si>
  <si>
    <t>Mozgáskorlátozottak közl. támogatás</t>
  </si>
  <si>
    <t>3. Városi Szoc. Int.</t>
  </si>
  <si>
    <t xml:space="preserve"> 3. Városi Szoc. Int.</t>
  </si>
  <si>
    <t>Működési célú hitel</t>
  </si>
  <si>
    <t>Helyi adók</t>
  </si>
  <si>
    <t>Lakás- és helységbérlet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</si>
  <si>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</si>
  <si>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</si>
  <si>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</si>
  <si>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</si>
  <si>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</si>
  <si>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</si>
  <si>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</si>
  <si>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</si>
  <si>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</si>
  <si>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</si>
  <si>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</si>
  <si>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</si>
  <si>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</si>
  <si>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</si>
  <si>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</si>
  <si>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</si>
  <si>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</si>
  <si>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</si>
  <si>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</si>
  <si>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</si>
  <si>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</si>
  <si>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</si>
  <si>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</si>
  <si>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</si>
  <si>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 xml:space="preserve">I. Felhalmozási és tőkejellegű bevételek </t>
  </si>
  <si>
    <t>Ingatlanértékesítések összesen</t>
  </si>
  <si>
    <t>Közös Önkormányzati Hivatal összesen</t>
  </si>
  <si>
    <t>2. felhalmozási bevételek és kiadások különbözete (felhalmozási hiány)</t>
  </si>
  <si>
    <t>(bevételek és kiadások havi ütemezése)</t>
  </si>
  <si>
    <t>Közös Önk. Hiv. szakfeladatos működési bevételei össz.:</t>
  </si>
  <si>
    <t>Önkormányzat és a közös önkormányzati hivatal igazgatási és szakfeladatos működési kiadásai összesen</t>
  </si>
  <si>
    <t>Önkormányzat és közös önkormányzati hivatal igazgatási és szakfeladatos működési kiadásai összesen</t>
  </si>
  <si>
    <t>Részben önállóan gazdálkodó intézmények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</si>
  <si>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</si>
  <si>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</si>
  <si>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</si>
  <si>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</si>
  <si>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</si>
  <si>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</si>
  <si>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Járulék</t>
  </si>
  <si>
    <t>Dologi</t>
  </si>
  <si>
    <t>Fejlesztési kiadások</t>
  </si>
  <si>
    <t>Bevételek</t>
  </si>
  <si>
    <t>Bursa Hungarica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</si>
  <si>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</si>
  <si>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</si>
  <si>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</si>
  <si>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</si>
  <si>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</si>
  <si>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</si>
  <si>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Lakosságtól szennyvízberuházásra átvett</t>
  </si>
  <si>
    <t>Folyószámlahitel</t>
  </si>
  <si>
    <t>Hosszúlejáratú hitelek kamattörlesztése összesen</t>
  </si>
  <si>
    <t>3 havi BUBOR és 4,5 % (12%)</t>
  </si>
  <si>
    <t>Csurgó Belterületi Vízrendezés áfa</t>
  </si>
  <si>
    <t>könyvvizsgálat  100 eFt/hó</t>
  </si>
  <si>
    <t>(orvosi vizsgálat) 76.000/n.év</t>
  </si>
  <si>
    <t xml:space="preserve">ügyvédi költség, szaktanácsadás, közbeszerzés, pályázatírás </t>
  </si>
  <si>
    <t>Munkavédelmi oktatás 190500*1,57</t>
  </si>
  <si>
    <t>soros: 2013.12.25</t>
  </si>
  <si>
    <t>soros: 2013.12.03</t>
  </si>
  <si>
    <t>soros: 2013.02.15</t>
  </si>
  <si>
    <t>Karbantartás, kisjavítás</t>
  </si>
  <si>
    <t>Magánszemélyek komm. Adója</t>
  </si>
  <si>
    <t>Zöldterület-gazdálkodással kapcsolatos feladatok tám-a</t>
  </si>
  <si>
    <t>Közvilágítás fenntartásának támogatása</t>
  </si>
  <si>
    <t>Közutak fenntartásának támogatása</t>
  </si>
  <si>
    <t>Köztemető fenntartásának támogatása</t>
  </si>
  <si>
    <t>Egyéb kötelező önkormányzati feladatok támogatása</t>
  </si>
  <si>
    <t>1.Egyes jövedelempótló támogatások kiegészítése</t>
  </si>
  <si>
    <t>2.Hozzájárulás a pénzbeli szociális ellátásokhoz</t>
  </si>
  <si>
    <t>3. Egyes szociális és gyermekjóléti feladatok támogatása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</si>
  <si>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</si>
  <si>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</si>
  <si>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</si>
  <si>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</si>
  <si>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</si>
  <si>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</si>
  <si>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</si>
  <si>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</si>
  <si>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</si>
  <si>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</si>
  <si>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</si>
  <si>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Köztisztviselők üdülési hozzájárulása</t>
  </si>
  <si>
    <t xml:space="preserve">Teljesítményértékelésre keret: 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</si>
  <si>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</si>
  <si>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</si>
  <si>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</si>
  <si>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</si>
  <si>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Ápolási díj TB járuléka 24 %</t>
  </si>
  <si>
    <t>53112/882116</t>
  </si>
  <si>
    <t>Járulékok összesen:</t>
  </si>
  <si>
    <t>Ápolási díj TB járuléka (24%)</t>
  </si>
  <si>
    <t>Normatív kötött támogatás</t>
  </si>
  <si>
    <t>Viziközmű felújítás (használati díjból)</t>
  </si>
  <si>
    <t>Tűzoltóság eszközök beszerzésének pályázati önereje (10 %)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</si>
  <si>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</si>
  <si>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</si>
  <si>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</si>
  <si>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</si>
  <si>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</si>
  <si>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</si>
  <si>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</si>
  <si>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</si>
  <si>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</si>
  <si>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</si>
  <si>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</si>
  <si>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</si>
  <si>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 xml:space="preserve">    bölcsődei ellátás</t>
  </si>
  <si>
    <t>Csurgói Városi Óvodák</t>
  </si>
  <si>
    <t xml:space="preserve">      Önkormányzat átadott</t>
  </si>
  <si>
    <t>Közfoglalkoztatásra Munkaügyi Központtól 2012</t>
  </si>
  <si>
    <t>Bérkompenzáció</t>
  </si>
  <si>
    <t>Nyárádi 12. 9 961 Ft/negyedév</t>
  </si>
  <si>
    <t>Nyárádi 4. 35801 Ft/negyedév</t>
  </si>
  <si>
    <t>Nyárádi 1. 38667 Ft/negyedév</t>
  </si>
  <si>
    <t>Egyéb Sporttámogatások</t>
  </si>
  <si>
    <t>Csurgó Belterületi Vízrendezés</t>
  </si>
  <si>
    <t>Csurgó Belterületi Vízrendezés EU Önerő Alap</t>
  </si>
  <si>
    <t>"Hagyomány és Innováció" Iskolai pályázat</t>
  </si>
  <si>
    <t>Tűzoltó köztestületre átvett támogatás</t>
  </si>
  <si>
    <t>S.M.Önk.-tól foglalkoztatásra átvett</t>
  </si>
  <si>
    <t>Csurgói Városgazdálkodási Kft.-nek működésre átadás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</si>
  <si>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</si>
  <si>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</si>
  <si>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</si>
  <si>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</si>
  <si>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</si>
  <si>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</si>
  <si>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</si>
  <si>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</si>
  <si>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</si>
  <si>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</si>
  <si>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</si>
  <si>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</si>
  <si>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</si>
  <si>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</si>
  <si>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Hónap</t>
  </si>
  <si>
    <t>Ütemezett várható bevételek</t>
  </si>
  <si>
    <t>Ütemezett várható kiadások</t>
  </si>
  <si>
    <t>Halmozott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</si>
  <si>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</si>
  <si>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</si>
  <si>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</si>
  <si>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</si>
  <si>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</si>
  <si>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</si>
  <si>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</si>
  <si>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</si>
  <si>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</si>
  <si>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</si>
  <si>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</si>
  <si>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</si>
  <si>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</si>
  <si>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</si>
  <si>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</si>
  <si>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</si>
  <si>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</si>
  <si>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</si>
  <si>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</si>
  <si>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</si>
  <si>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</si>
  <si>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</si>
  <si>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</si>
  <si>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</si>
  <si>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</si>
  <si>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</si>
  <si>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</si>
  <si>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</si>
  <si>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</si>
  <si>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</si>
  <si>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</si>
  <si>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</si>
  <si>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</si>
  <si>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</si>
  <si>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</si>
  <si>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</si>
  <si>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</si>
  <si>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</si>
  <si>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</si>
  <si>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</si>
  <si>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Köztisztviselők alapvizsga (7fő), szakvizsga (3 fő)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</si>
  <si>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</si>
  <si>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</si>
  <si>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Cafeteria</t>
  </si>
  <si>
    <t>Egyéb dologi</t>
  </si>
  <si>
    <t>IV. Költségvetési támogatások felhalmozásra</t>
  </si>
  <si>
    <t>841125-115</t>
  </si>
  <si>
    <t>ÖNKORMÁNYZATOK SAJÁTOS BEV. ÖSSZESEN:</t>
  </si>
  <si>
    <t>Személyügy</t>
  </si>
  <si>
    <t>36.</t>
  </si>
  <si>
    <t xml:space="preserve">További munkaviszonyt létesítők juttatásai </t>
  </si>
  <si>
    <t>Éleslátást biztosító szemüveg (5 fő X 38.650 Ft X 0,3)</t>
  </si>
  <si>
    <t>Horváth Gyula</t>
  </si>
  <si>
    <t>Megbízási díjak</t>
  </si>
  <si>
    <t>Önkormányzati igazgatás</t>
  </si>
  <si>
    <t>Külső személyi juttatás</t>
  </si>
  <si>
    <t>Személyi összesen</t>
  </si>
  <si>
    <t>Secor Security Kft 24.765Ft/hó+27%+5,7%</t>
  </si>
  <si>
    <t>uszodához</t>
  </si>
  <si>
    <t>Netteam jogszabálykövetés díja 173000Ft/év áfával</t>
  </si>
  <si>
    <t>(10 fő x 40.000 Ft)</t>
  </si>
  <si>
    <t>Csurgói Közös Önkormányzati Hivatal</t>
  </si>
  <si>
    <t xml:space="preserve">   6. Önkormányzat működőképessége megőrzését szolgáló kiegészítő támogatás </t>
  </si>
  <si>
    <t>Szükséges plusz állami támogatás</t>
  </si>
  <si>
    <t>g. Adósságkonszolidáció révén kapott támogatás</t>
  </si>
  <si>
    <t>f. Csurgó és térsége szennyvízelvezetés és tisztítás II. ütem (EU Önerő Alap)</t>
  </si>
  <si>
    <t>8. Csurgó és térsége szennyvízelvezetés és tisztítás II. ütem (EU Önerő Alap átadása)</t>
  </si>
  <si>
    <t>h. Csurgó és térsége szennyvízelvezetés és tisztítás II. ütem (EU Önerő Alap átadása)</t>
  </si>
  <si>
    <t>Eredeti előirányzat (2013. évi terv adatok)</t>
  </si>
  <si>
    <t>2012. évi terv adatok</t>
  </si>
  <si>
    <t>2011. évi tényadatok</t>
  </si>
  <si>
    <t>Közgyógyellátás - méltányos</t>
  </si>
  <si>
    <t>Óvodai intézményi étkeztetés</t>
  </si>
  <si>
    <t>Iskolai intézményi étkeztetés</t>
  </si>
  <si>
    <t>Munkahelyi intézményi étkeztetés</t>
  </si>
  <si>
    <t>Egyéb étkeztetés (ÖNO, falusi öregek)</t>
  </si>
  <si>
    <t>Egyéb vendéglátás</t>
  </si>
  <si>
    <t>Munkahelyi étkeztetés</t>
  </si>
  <si>
    <t xml:space="preserve">   Egyéb étkeztetés (ÖNO, falusi öregek)</t>
  </si>
  <si>
    <t xml:space="preserve">   Egyéb vendéglátás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</si>
  <si>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</si>
  <si>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</si>
  <si>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</si>
  <si>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</si>
  <si>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</si>
  <si>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</si>
  <si>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</si>
  <si>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Jézus Szíve Katolikus Plébánia felújítás (Városrehabilitáció konzorciós partner) áfa</t>
  </si>
  <si>
    <t>Víziközmű felújítás (használati díjból)</t>
  </si>
  <si>
    <t>FELÚJÍTÁSOK ÖSSZESEN</t>
  </si>
  <si>
    <t>II. Áthúzódó beruházások</t>
  </si>
  <si>
    <t>III. Új beruházások</t>
  </si>
  <si>
    <t>1. Építési beruházások</t>
  </si>
  <si>
    <t xml:space="preserve">       -ebből intézményeknek átadott</t>
  </si>
  <si>
    <t>ÖNHIKI bevétel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</si>
  <si>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</si>
  <si>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</si>
  <si>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</si>
  <si>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</si>
  <si>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7 fő képviselő x 45.000 Ft/hó/fő x (12 hó) =</t>
  </si>
  <si>
    <t>Egyéb bérrendszer munkabére (alpolgármester)</t>
  </si>
  <si>
    <t>jegyzőkönyvkötés 121800Ft/év+27%</t>
  </si>
  <si>
    <t>Önkormányzat összesen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</si>
  <si>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</si>
  <si>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</si>
  <si>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</si>
  <si>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</si>
  <si>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</si>
  <si>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</si>
  <si>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</si>
  <si>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</si>
  <si>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Vagyonbiztosítás (Uniqua) 585 eFt/n.év</t>
  </si>
  <si>
    <t>Opel biztosítás 36872/év</t>
  </si>
  <si>
    <t>Utánfutó 2335/év</t>
  </si>
  <si>
    <t>E-on 481 eFt/hó</t>
  </si>
  <si>
    <t>Biztosítás autó 7836/n.év</t>
  </si>
  <si>
    <t>Biztosítás autó 14142/n.év</t>
  </si>
  <si>
    <t>Egészségügyi Szolgáltató Nonprofit Kft.-nek átadás</t>
  </si>
  <si>
    <t>MUNKADAÓT TERH.JÁRULÉKOK ÖSSZ.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</si>
  <si>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</si>
  <si>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</si>
  <si>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</si>
  <si>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</si>
  <si>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</si>
  <si>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</si>
  <si>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</si>
  <si>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</si>
  <si>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</si>
  <si>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</si>
  <si>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</si>
  <si>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</si>
  <si>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</si>
  <si>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</si>
  <si>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</si>
  <si>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</si>
  <si>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Biztosítás 6084*2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</si>
  <si>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</si>
  <si>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</si>
  <si>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</si>
  <si>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</si>
  <si>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</si>
  <si>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</si>
  <si>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</si>
  <si>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</si>
  <si>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</si>
  <si>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</si>
  <si>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Csurgó Város Helyi Cigány Nemzetiségi Önkormányzat</t>
  </si>
  <si>
    <t>Ellátottak pénzbeli juttatásai</t>
  </si>
  <si>
    <t>Helyi önkormányzati támogatás</t>
  </si>
  <si>
    <t xml:space="preserve">    ebből</t>
  </si>
  <si>
    <t>Egyéb működési bevétel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</si>
  <si>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</si>
  <si>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</si>
  <si>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</si>
  <si>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</si>
  <si>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</si>
  <si>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</si>
  <si>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</si>
  <si>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</si>
  <si>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</si>
  <si>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</si>
  <si>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</si>
  <si>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</si>
  <si>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</si>
  <si>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</si>
  <si>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</si>
  <si>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</si>
  <si>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</si>
  <si>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</si>
  <si>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</si>
  <si>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</si>
  <si>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</si>
  <si>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</si>
  <si>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</si>
  <si>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</si>
  <si>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</si>
  <si>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 xml:space="preserve">Csurgó Város Önkormányzatának hosszúlejáratú hitelállománya és lízing díjai lejárat és eszközök szerinti bontásban  </t>
  </si>
  <si>
    <t>2017.</t>
  </si>
  <si>
    <t>Szállítási költség</t>
  </si>
  <si>
    <t>2009.</t>
  </si>
  <si>
    <t>2010.</t>
  </si>
  <si>
    <t>2011.</t>
  </si>
  <si>
    <t>IV. Felhalmozási kiadásokhoz kapcsolódó áfa visszatérülés</t>
  </si>
  <si>
    <t>V. Felhalmozási célú hitelek felvétele</t>
  </si>
  <si>
    <t>VI. Előző évi fejlesztési pénzmaradvány igénybevétele</t>
  </si>
  <si>
    <t>4. Felhalmozási kiadásokhoz kapcsolódó áfa visszatérülése</t>
  </si>
  <si>
    <t>c. "Hagyomány és Innováció" oktatási pályázat DDOP (Iskola)</t>
  </si>
  <si>
    <t>b. Csurgó Belterületi Vízrendezés</t>
  </si>
  <si>
    <t xml:space="preserve">   1. Mozgókönyvtár ügyviteli eszközök</t>
  </si>
  <si>
    <t xml:space="preserve">   2.Tárgyi eszközök könyvtár (TIOP-1.2.3)</t>
  </si>
  <si>
    <t xml:space="preserve">   1. szellemi termékek könyvtár (TIOP-1.2.3)</t>
  </si>
  <si>
    <t>d. Csurgói Ivóvízminőség-javító program</t>
  </si>
  <si>
    <t>5. Egyéb központi támogatás (adósságkonszolidáció)</t>
  </si>
  <si>
    <t>d. "Hagyomány és Innováció" Iskolai pályázat (DDOP) (EU Önerő Alap)</t>
  </si>
  <si>
    <t>e. Csurgói Ivóvízminőség-javító program (KEOP) (EU Önerő Alap)</t>
  </si>
  <si>
    <t>a. Pótlékok</t>
  </si>
  <si>
    <t xml:space="preserve">   Könyvtár pályázatok (TIOP-1.2.3)</t>
  </si>
  <si>
    <t xml:space="preserve">      Központi támogatás</t>
  </si>
  <si>
    <t>Közös önkormányzati hivatalra átvett</t>
  </si>
  <si>
    <t>CSKTT működésére átvett</t>
  </si>
  <si>
    <t>Városi kitüntetések</t>
  </si>
  <si>
    <t>Bérleti díj - fénymásoló</t>
  </si>
  <si>
    <t>PPP konstrukcióhoz kapcs.szolgáltatsi díj</t>
  </si>
  <si>
    <t>Részmunkaidőben fogl.köztisztviselők rendszreres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</si>
  <si>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</si>
  <si>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</si>
  <si>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</si>
  <si>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</si>
  <si>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</si>
  <si>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</si>
  <si>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</si>
  <si>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</si>
  <si>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</si>
  <si>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</si>
  <si>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</si>
  <si>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</si>
  <si>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</si>
  <si>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Bodóné Gazda Edit</t>
  </si>
  <si>
    <t>Eötvös</t>
  </si>
  <si>
    <t>Füstös Sándorné</t>
  </si>
  <si>
    <t>Horváth Sándorné</t>
  </si>
  <si>
    <t>Kiss Lajos</t>
  </si>
  <si>
    <t>Németh Zoltánné</t>
  </si>
  <si>
    <t>Rádics Lászlóné</t>
  </si>
  <si>
    <t>Szőke Zsoltné</t>
  </si>
  <si>
    <t>Tóth Sándor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</si>
  <si>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</si>
  <si>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</si>
  <si>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</si>
  <si>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</si>
  <si>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</si>
  <si>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</si>
  <si>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</si>
  <si>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</si>
  <si>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</si>
  <si>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</si>
  <si>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</si>
  <si>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</si>
  <si>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</si>
  <si>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</si>
  <si>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</si>
  <si>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házasságkötések megbízási díjai</t>
  </si>
  <si>
    <t>Helyi önkormányzati képviselők juttatásai</t>
  </si>
  <si>
    <t>működés</t>
  </si>
  <si>
    <t>MŰKÖDÉSI CÉLÚ PÉNZESZKÖZ ÁTADÁS</t>
  </si>
  <si>
    <t>MŰKÖDÉSI CÉLÚ PÉNZESZKÖZ ÁTADÁS ÖSSZESEN:</t>
  </si>
  <si>
    <t>INTÉZMÉNYI MŰKÖDÉSI BEVÉTELEK</t>
  </si>
  <si>
    <t>…/2013. (…..) rendelet</t>
  </si>
  <si>
    <t>Dr. Bojtor Éva</t>
  </si>
  <si>
    <t>Bakainé Haholka Krisztina</t>
  </si>
  <si>
    <t>Fülöpné Tóth Zsuzsanna</t>
  </si>
  <si>
    <t>Huszicsné Maronics Valéria</t>
  </si>
  <si>
    <t>Polaneczkiné Tavaszi Gyöngyi</t>
  </si>
  <si>
    <t>3060603 F/06</t>
  </si>
  <si>
    <t>3080203 H/02</t>
  </si>
  <si>
    <t>3061300 F/13</t>
  </si>
  <si>
    <t>3060903 F09</t>
  </si>
  <si>
    <t>869041- Védőnői szolgálat</t>
  </si>
  <si>
    <t>Bakainé</t>
  </si>
  <si>
    <t>Huszicsné</t>
  </si>
  <si>
    <t>Módosított előirányzat (2013. évi terv adatok)</t>
  </si>
  <si>
    <t>Módosított előirányzat</t>
  </si>
  <si>
    <t>Eredeti e.i</t>
  </si>
  <si>
    <t>Mód. E.i</t>
  </si>
  <si>
    <t>Mód. ei</t>
  </si>
  <si>
    <t>Mód e.i</t>
  </si>
  <si>
    <t>Eredeti e.i.</t>
  </si>
  <si>
    <t xml:space="preserve">   Nagyváthy konyha</t>
  </si>
  <si>
    <t>Nagyváthy konyha</t>
  </si>
  <si>
    <t xml:space="preserve">   Gróf Festetics György Öszöndíj</t>
  </si>
  <si>
    <t xml:space="preserve">    Jézus Szíve Plébániának nyújtott támogatás</t>
  </si>
  <si>
    <t xml:space="preserve">   2. Tanulmány a KEOP-2012-5.5.0 projekthez</t>
  </si>
  <si>
    <t>Pedagógiai szakszolgálat, tetőcsere</t>
  </si>
  <si>
    <t>Egészségügyi Szolgáltató Nonprofit Kft. fejleszási p.e átadás ügyeletre</t>
  </si>
  <si>
    <t>2.1. melléklet</t>
  </si>
  <si>
    <t>2.2 melléklet</t>
  </si>
  <si>
    <t>Teljesítés</t>
  </si>
  <si>
    <t>%</t>
  </si>
  <si>
    <t>Csurgó Város Önkormányzatának és a Közös Önkormányzati Hivatalának igazgatási és szakfeladatos működési bevételi előirányzatainak teljesítése 2013. I. félévben</t>
  </si>
  <si>
    <t>Csurgó Város Közös Önkormányzati Hivatala szakfeladatos és önállóan működő intézmények működési bevételi előirányzatainak teljesítése 2013. I. félévben</t>
  </si>
  <si>
    <t>Csurgó Város Önkormányzata működési bevételi és kiadási előirányzatainak teljesítése 2013. I. félévben</t>
  </si>
  <si>
    <t>Csurgó Város Önkormányzatának és Közös Önkormányzati  Hivatalának igazgatási és szakfeladatos működési kiadási előirányzatainak teljesítése 2013. I. félévben</t>
  </si>
  <si>
    <t>Csurgó Város Közös Önkormányzati Hivatala szakfeladatos és önállóan működő intézmények működési kiadási előirányzatainak teljesítése 2013. I. félévben</t>
  </si>
  <si>
    <t>előirányzatainak teljesítése 2013. I. félévben</t>
  </si>
  <si>
    <t>Csurgó Város Önkormányzata felhalmozási bevételi előirányzatainak teljesülése 2013. I. félévben</t>
  </si>
  <si>
    <t>Csurgó Város Önkormányzata felhalmozási kiadási előiranyzatainak teljesítése 2013. I. félévben</t>
  </si>
  <si>
    <t xml:space="preserve">Teljesítés </t>
  </si>
  <si>
    <t>Csurgó Város Önkormányzata bevételi és kiadási előirányzatainak teljesítése 2013. I. félévben</t>
  </si>
  <si>
    <t>Működési kiadások összesen:</t>
  </si>
  <si>
    <t>Felhalmozási kiadások</t>
  </si>
  <si>
    <t>Függő átfutó kiadások</t>
  </si>
  <si>
    <t>Pályázati támogatás megelőlegezése</t>
  </si>
  <si>
    <t>Működési kiadások</t>
  </si>
  <si>
    <t>Fejlesztés kiadások</t>
  </si>
  <si>
    <t>Függő kiadások</t>
  </si>
  <si>
    <t>Függő bevételek</t>
  </si>
  <si>
    <t>Tárgyévi kiadások összesen</t>
  </si>
  <si>
    <t>Működési kiadások:</t>
  </si>
  <si>
    <t>Kiadások Összesen</t>
  </si>
  <si>
    <t>Működési célú támogatási bevétel Kp. Ktv. Szervtől</t>
  </si>
  <si>
    <t>Működési Bevételek</t>
  </si>
  <si>
    <t>Függő Bevételek</t>
  </si>
  <si>
    <t xml:space="preserve">   TIOP támogatás visszafizetés</t>
  </si>
  <si>
    <t>PPP</t>
  </si>
  <si>
    <t>Csúsza</t>
  </si>
  <si>
    <t>KLIK-nek továbbszámlázott szolgáltatás</t>
  </si>
  <si>
    <t>Kamatbevétel</t>
  </si>
  <si>
    <t>Szennyvíz társulás önerő alap</t>
  </si>
  <si>
    <t>Szennyvíz megelőlegezett támogatás vissza</t>
  </si>
  <si>
    <t>Kölcsönök visszatérülése</t>
  </si>
  <si>
    <t>Támogatás csúsza fesztiválra</t>
  </si>
  <si>
    <t xml:space="preserve">Igazgatási szolgáltatás </t>
  </si>
  <si>
    <t xml:space="preserve">      e) Földterület értékesítés</t>
  </si>
  <si>
    <t>f. Határon átnyuló (IPA)</t>
  </si>
  <si>
    <t>h. Leader</t>
  </si>
  <si>
    <t>a. Szennyvízre lakosságtól</t>
  </si>
  <si>
    <t xml:space="preserve">   Támogatás megelőlegezése</t>
  </si>
  <si>
    <t xml:space="preserve">   Visszatérítendő kölcsön</t>
  </si>
  <si>
    <t>KLIK-nek átadott (2012 évi IPR támogatás)</t>
  </si>
  <si>
    <t>Csurgói Cigány Nemzetiségi Önkormányzat</t>
  </si>
  <si>
    <t>Csurgó Város Önkormányzata által folyósított ellátások előirányzatainak teljesítése 2013. I. félévben</t>
  </si>
  <si>
    <t>Időskorúak járadéka (2012. dec.)</t>
  </si>
  <si>
    <t xml:space="preserve">   3. Környezetvédelmi program</t>
  </si>
  <si>
    <t>e. Körforgalom</t>
  </si>
  <si>
    <t xml:space="preserve">   3. Közmunka programba eszköz vásárlás</t>
  </si>
  <si>
    <t>g. Otthonteremtési támogatás</t>
  </si>
  <si>
    <t xml:space="preserve">    Otthonteremtési támogatás</t>
  </si>
  <si>
    <t xml:space="preserve">   4. Óvoda fénymásoló</t>
  </si>
  <si>
    <t xml:space="preserve">   4. Szoftver Óvoda</t>
  </si>
  <si>
    <t xml:space="preserve">   5. Gépek, berendezések könyvtárba</t>
  </si>
  <si>
    <t>3.2 melléklet</t>
  </si>
  <si>
    <t>(adatok e ft-ban)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</si>
</sst>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%"/>
    <numFmt numFmtId="182" formatCode="#,##0\ &quot;Ft&quot;"/>
    <numFmt numFmtId="183" formatCode="#,##0.000\ &quot;Ft&quot;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11"/>
      <name val="Times New Roman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i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4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4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3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6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35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7" xfId="0" applyFont="1" applyBorder="1" applyAlignment="1" quotePrefix="1">
      <alignment horizontal="left" indent="1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left" indent="5"/>
    </xf>
    <xf numFmtId="0" fontId="25" fillId="0" borderId="10" xfId="0" applyFont="1" applyBorder="1" applyAlignment="1">
      <alignment horizontal="left" indent="1"/>
    </xf>
    <xf numFmtId="3" fontId="25" fillId="0" borderId="10" xfId="0" applyNumberFormat="1" applyFont="1" applyBorder="1" applyAlignment="1">
      <alignment horizontal="left" indent="3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indent="3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3" fontId="26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 inden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2"/>
    </xf>
    <xf numFmtId="3" fontId="24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64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29" fillId="0" borderId="0" xfId="56" applyFont="1">
      <alignment/>
      <protection/>
    </xf>
    <xf numFmtId="3" fontId="26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6" fillId="0" borderId="13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 indent="1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 indent="1"/>
    </xf>
    <xf numFmtId="0" fontId="26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37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35" borderId="0" xfId="0" applyNumberFormat="1" applyFont="1" applyFill="1" applyAlignment="1">
      <alignment/>
    </xf>
    <xf numFmtId="0" fontId="30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64" fillId="0" borderId="0" xfId="56" applyAlignment="1">
      <alignment horizontal="center"/>
      <protection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vertical="center"/>
    </xf>
    <xf numFmtId="3" fontId="3" fillId="4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3" fontId="36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 indent="2"/>
    </xf>
    <xf numFmtId="3" fontId="12" fillId="0" borderId="15" xfId="0" applyNumberFormat="1" applyFont="1" applyBorder="1" applyAlignment="1">
      <alignment horizontal="left" indent="2"/>
    </xf>
    <xf numFmtId="3" fontId="12" fillId="0" borderId="15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4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12" fillId="4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4" fillId="0" borderId="10" xfId="56" applyBorder="1">
      <alignment/>
      <protection/>
    </xf>
    <xf numFmtId="0" fontId="1" fillId="0" borderId="10" xfId="56" applyFont="1" applyBorder="1">
      <alignment/>
      <protection/>
    </xf>
    <xf numFmtId="0" fontId="37" fillId="0" borderId="10" xfId="56" applyFont="1" applyBorder="1">
      <alignment/>
      <protection/>
    </xf>
    <xf numFmtId="0" fontId="37" fillId="0" borderId="0" xfId="56" applyFont="1">
      <alignment/>
      <protection/>
    </xf>
    <xf numFmtId="0" fontId="64" fillId="0" borderId="0" xfId="56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0" fontId="5" fillId="0" borderId="10" xfId="56" applyFont="1" applyFill="1" applyBorder="1">
      <alignment/>
      <protection/>
    </xf>
    <xf numFmtId="3" fontId="30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41" borderId="10" xfId="0" applyFont="1" applyFill="1" applyBorder="1" applyAlignment="1">
      <alignment horizontal="left"/>
    </xf>
    <xf numFmtId="0" fontId="30" fillId="0" borderId="12" xfId="0" applyFont="1" applyBorder="1" applyAlignment="1">
      <alignment/>
    </xf>
    <xf numFmtId="0" fontId="3" fillId="40" borderId="19" xfId="0" applyFont="1" applyFill="1" applyBorder="1" applyAlignment="1">
      <alignment vertical="center"/>
    </xf>
    <xf numFmtId="49" fontId="0" fillId="0" borderId="10" xfId="56" applyNumberFormat="1" applyFont="1" applyFill="1" applyBorder="1" applyAlignment="1">
      <alignment horizontal="center"/>
      <protection/>
    </xf>
    <xf numFmtId="49" fontId="64" fillId="0" borderId="0" xfId="56" applyNumberFormat="1" applyAlignment="1">
      <alignment horizontal="center"/>
      <protection/>
    </xf>
    <xf numFmtId="0" fontId="38" fillId="0" borderId="10" xfId="56" applyFont="1" applyBorder="1">
      <alignment/>
      <protection/>
    </xf>
    <xf numFmtId="0" fontId="37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39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4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vertical="center"/>
    </xf>
    <xf numFmtId="3" fontId="12" fillId="40" borderId="1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5" fillId="0" borderId="30" xfId="0" applyFont="1" applyBorder="1" applyAlignment="1">
      <alignment/>
    </xf>
    <xf numFmtId="2" fontId="5" fillId="0" borderId="3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9" fillId="0" borderId="10" xfId="56" applyFont="1" applyBorder="1" applyAlignment="1">
      <alignment horizontal="center"/>
      <protection/>
    </xf>
    <xf numFmtId="49" fontId="39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3" fontId="3" fillId="40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Border="1" applyAlignment="1">
      <alignment vertical="center"/>
    </xf>
    <xf numFmtId="0" fontId="37" fillId="35" borderId="10" xfId="56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64" fillId="43" borderId="0" xfId="56" applyFill="1">
      <alignment/>
      <protection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0" borderId="34" xfId="0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3" fontId="0" fillId="4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4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19" xfId="56" applyNumberFormat="1" applyFont="1" applyFill="1" applyBorder="1" applyAlignment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4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textRotation="180" wrapText="1"/>
    </xf>
    <xf numFmtId="0" fontId="30" fillId="0" borderId="10" xfId="0" applyFont="1" applyBorder="1" applyAlignment="1">
      <alignment horizontal="center" vertical="center" textRotation="180" wrapText="1"/>
    </xf>
    <xf numFmtId="0" fontId="28" fillId="0" borderId="10" xfId="0" applyFont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0" fillId="0" borderId="37" xfId="0" applyBorder="1" applyAlignment="1">
      <alignment horizontal="left" vertical="center"/>
    </xf>
    <xf numFmtId="3" fontId="0" fillId="0" borderId="27" xfId="0" applyNumberFormat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horizontal="left" wrapText="1" indent="2"/>
    </xf>
    <xf numFmtId="0" fontId="0" fillId="0" borderId="43" xfId="0" applyFont="1" applyBorder="1" applyAlignment="1">
      <alignment horizontal="left" wrapText="1" indent="2"/>
    </xf>
    <xf numFmtId="0" fontId="5" fillId="0" borderId="4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0" fontId="0" fillId="40" borderId="43" xfId="0" applyFont="1" applyFill="1" applyBorder="1" applyAlignment="1">
      <alignment vertical="center" wrapText="1"/>
    </xf>
    <xf numFmtId="0" fontId="0" fillId="40" borderId="3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 wrapText="1"/>
    </xf>
    <xf numFmtId="0" fontId="7" fillId="40" borderId="10" xfId="0" applyFont="1" applyFill="1" applyBorder="1" applyAlignment="1">
      <alignment horizontal="left" indent="3"/>
    </xf>
    <xf numFmtId="3" fontId="7" fillId="40" borderId="10" xfId="0" applyNumberFormat="1" applyFont="1" applyFill="1" applyBorder="1" applyAlignment="1">
      <alignment/>
    </xf>
    <xf numFmtId="0" fontId="0" fillId="0" borderId="46" xfId="0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indent="4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0" borderId="10" xfId="56" applyFont="1" applyFill="1" applyBorder="1">
      <alignment/>
      <protection/>
    </xf>
    <xf numFmtId="3" fontId="37" fillId="0" borderId="10" xfId="56" applyNumberFormat="1" applyFont="1" applyFill="1" applyBorder="1" applyAlignment="1">
      <alignment/>
      <protection/>
    </xf>
    <xf numFmtId="0" fontId="64" fillId="0" borderId="10" xfId="56" applyFill="1" applyBorder="1">
      <alignment/>
      <protection/>
    </xf>
    <xf numFmtId="0" fontId="1" fillId="0" borderId="0" xfId="56" applyFont="1">
      <alignment/>
      <protection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3" fontId="29" fillId="0" borderId="10" xfId="56" applyNumberFormat="1" applyFont="1" applyFill="1" applyBorder="1" applyAlignment="1">
      <alignment horizontal="center"/>
      <protection/>
    </xf>
    <xf numFmtId="3" fontId="29" fillId="0" borderId="10" xfId="56" applyNumberFormat="1" applyFont="1" applyFill="1" applyBorder="1" applyAlignment="1">
      <alignment/>
      <protection/>
    </xf>
    <xf numFmtId="3" fontId="5" fillId="0" borderId="19" xfId="56" applyNumberFormat="1" applyFont="1" applyFill="1" applyBorder="1" applyAlignment="1">
      <alignment/>
      <protection/>
    </xf>
    <xf numFmtId="3" fontId="1" fillId="0" borderId="19" xfId="56" applyNumberFormat="1" applyFont="1" applyFill="1" applyBorder="1" applyAlignment="1">
      <alignment/>
      <protection/>
    </xf>
    <xf numFmtId="3" fontId="29" fillId="0" borderId="19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64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37" fillId="0" borderId="10" xfId="56" applyFont="1" applyFill="1" applyBorder="1">
      <alignment/>
      <protection/>
    </xf>
    <xf numFmtId="0" fontId="64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64" fillId="0" borderId="10" xfId="56" applyNumberFormat="1" applyFill="1" applyBorder="1" applyAlignment="1">
      <alignment/>
      <protection/>
    </xf>
    <xf numFmtId="0" fontId="38" fillId="0" borderId="10" xfId="56" applyFont="1" applyFill="1" applyBorder="1">
      <alignment/>
      <protection/>
    </xf>
    <xf numFmtId="49" fontId="64" fillId="0" borderId="10" xfId="56" applyNumberFormat="1" applyFill="1" applyBorder="1" applyAlignment="1">
      <alignment horizontal="center"/>
      <protection/>
    </xf>
    <xf numFmtId="3" fontId="64" fillId="0" borderId="19" xfId="56" applyNumberFormat="1" applyFill="1" applyBorder="1" applyAlignment="1">
      <alignment/>
      <protection/>
    </xf>
    <xf numFmtId="1" fontId="3" fillId="0" borderId="0" xfId="0" applyNumberFormat="1" applyFont="1" applyAlignment="1">
      <alignment/>
    </xf>
    <xf numFmtId="1" fontId="12" fillId="37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5" fillId="4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49" fontId="0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/>
    </xf>
    <xf numFmtId="3" fontId="11" fillId="0" borderId="55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NumberFormat="1" applyFont="1" applyBorder="1" applyAlignment="1">
      <alignment/>
    </xf>
    <xf numFmtId="0" fontId="11" fillId="0" borderId="52" xfId="0" applyFont="1" applyBorder="1" applyAlignment="1">
      <alignment/>
    </xf>
    <xf numFmtId="3" fontId="11" fillId="0" borderId="52" xfId="0" applyNumberFormat="1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11" fillId="0" borderId="53" xfId="0" applyFont="1" applyBorder="1" applyAlignment="1">
      <alignment/>
    </xf>
    <xf numFmtId="3" fontId="11" fillId="0" borderId="5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/>
    </xf>
    <xf numFmtId="3" fontId="32" fillId="35" borderId="10" xfId="0" applyNumberFormat="1" applyFont="1" applyFill="1" applyBorder="1" applyAlignment="1">
      <alignment horizontal="right" vertical="center"/>
    </xf>
    <xf numFmtId="3" fontId="5" fillId="40" borderId="10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3" fillId="40" borderId="0" xfId="0" applyNumberFormat="1" applyFont="1" applyFill="1" applyAlignment="1">
      <alignment horizontal="left"/>
    </xf>
    <xf numFmtId="3" fontId="3" fillId="40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0" fillId="44" borderId="0" xfId="0" applyFill="1" applyAlignment="1">
      <alignment/>
    </xf>
    <xf numFmtId="0" fontId="43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7" fillId="40" borderId="10" xfId="0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 horizontal="right"/>
      <protection locked="0"/>
    </xf>
    <xf numFmtId="3" fontId="0" fillId="40" borderId="10" xfId="0" applyNumberFormat="1" applyFont="1" applyFill="1" applyBorder="1" applyAlignment="1" applyProtection="1">
      <alignment vertical="center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40" borderId="0" xfId="0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5" fillId="33" borderId="6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0" fillId="0" borderId="10" xfId="56" applyFont="1" applyFill="1" applyBorder="1" applyAlignment="1">
      <alignment horizontal="center"/>
      <protection/>
    </xf>
    <xf numFmtId="0" fontId="39" fillId="0" borderId="10" xfId="56" applyFont="1" applyFill="1" applyBorder="1">
      <alignment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>
      <alignment/>
      <protection/>
    </xf>
    <xf numFmtId="0" fontId="37" fillId="0" borderId="0" xfId="56" applyFont="1" applyFill="1">
      <alignment/>
      <protection/>
    </xf>
    <xf numFmtId="0" fontId="64" fillId="0" borderId="0" xfId="56" applyFill="1" applyAlignment="1">
      <alignment horizontal="center"/>
      <protection/>
    </xf>
    <xf numFmtId="49" fontId="64" fillId="0" borderId="0" xfId="56" applyNumberFormat="1" applyFill="1" applyAlignment="1">
      <alignment horizontal="center"/>
      <protection/>
    </xf>
    <xf numFmtId="0" fontId="64" fillId="0" borderId="0" xfId="56" applyFill="1" applyAlignment="1">
      <alignment horizontal="right"/>
      <protection/>
    </xf>
    <xf numFmtId="0" fontId="37" fillId="0" borderId="0" xfId="56" applyFont="1" applyFill="1" applyAlignment="1">
      <alignment horizontal="center"/>
      <protection/>
    </xf>
    <xf numFmtId="0" fontId="1" fillId="0" borderId="0" xfId="56" applyFont="1" applyFill="1" applyAlignment="1">
      <alignment horizontal="right"/>
      <protection/>
    </xf>
    <xf numFmtId="3" fontId="64" fillId="0" borderId="0" xfId="56" applyNumberFormat="1" applyFill="1" applyAlignment="1">
      <alignment horizontal="center"/>
      <protection/>
    </xf>
    <xf numFmtId="3" fontId="64" fillId="0" borderId="0" xfId="56" applyNumberFormat="1" applyFill="1">
      <alignment/>
      <protection/>
    </xf>
    <xf numFmtId="3" fontId="5" fillId="0" borderId="19" xfId="56" applyNumberFormat="1" applyFont="1" applyFill="1" applyBorder="1" applyAlignment="1">
      <alignment horizontal="center"/>
      <protection/>
    </xf>
    <xf numFmtId="49" fontId="37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37" fillId="0" borderId="10" xfId="56" applyNumberFormat="1" applyFont="1" applyFill="1" applyBorder="1" applyAlignment="1">
      <alignment horizontal="center"/>
      <protection/>
    </xf>
    <xf numFmtId="3" fontId="5" fillId="0" borderId="62" xfId="56" applyNumberFormat="1" applyFont="1" applyFill="1" applyBorder="1" applyAlignment="1">
      <alignment horizontal="right"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0" fontId="1" fillId="35" borderId="10" xfId="56" applyFont="1" applyFill="1" applyBorder="1">
      <alignment/>
      <protection/>
    </xf>
    <xf numFmtId="0" fontId="1" fillId="35" borderId="10" xfId="56" applyFont="1" applyFill="1" applyBorder="1">
      <alignment/>
      <protection/>
    </xf>
    <xf numFmtId="3" fontId="11" fillId="0" borderId="31" xfId="0" applyNumberFormat="1" applyFont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12" fillId="44" borderId="10" xfId="0" applyNumberFormat="1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62" xfId="56" applyFont="1" applyFill="1" applyBorder="1">
      <alignment/>
      <protection/>
    </xf>
    <xf numFmtId="3" fontId="0" fillId="0" borderId="62" xfId="56" applyNumberFormat="1" applyFont="1" applyFill="1" applyBorder="1" applyAlignment="1">
      <alignment horizontal="center"/>
      <protection/>
    </xf>
    <xf numFmtId="0" fontId="0" fillId="0" borderId="62" xfId="56" applyNumberFormat="1" applyFont="1" applyFill="1" applyBorder="1" applyAlignment="1">
      <alignment horizontal="center"/>
      <protection/>
    </xf>
    <xf numFmtId="3" fontId="0" fillId="0" borderId="62" xfId="56" applyNumberFormat="1" applyFont="1" applyFill="1" applyBorder="1" applyAlignment="1">
      <alignment/>
      <protection/>
    </xf>
    <xf numFmtId="3" fontId="5" fillId="0" borderId="62" xfId="56" applyNumberFormat="1" applyFont="1" applyFill="1" applyBorder="1" applyAlignment="1">
      <alignment/>
      <protection/>
    </xf>
    <xf numFmtId="0" fontId="64" fillId="0" borderId="62" xfId="56" applyFill="1" applyBorder="1">
      <alignment/>
      <protection/>
    </xf>
    <xf numFmtId="0" fontId="1" fillId="0" borderId="62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0" xfId="56" applyNumberFormat="1" applyFont="1" applyFill="1" applyBorder="1" applyAlignment="1">
      <alignment horizontal="center"/>
      <protection/>
    </xf>
    <xf numFmtId="3" fontId="1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 horizontal="right"/>
      <protection/>
    </xf>
    <xf numFmtId="0" fontId="64" fillId="0" borderId="0" xfId="56" applyFill="1" applyBorder="1">
      <alignment/>
      <protection/>
    </xf>
    <xf numFmtId="0" fontId="1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3" fillId="0" borderId="15" xfId="0" applyFont="1" applyBorder="1" applyAlignment="1">
      <alignment vertical="center"/>
    </xf>
    <xf numFmtId="0" fontId="0" fillId="35" borderId="10" xfId="56" applyFont="1" applyFill="1" applyBorder="1">
      <alignment/>
      <protection/>
    </xf>
    <xf numFmtId="3" fontId="5" fillId="33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8" fillId="33" borderId="41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3" fillId="4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6" fillId="45" borderId="10" xfId="0" applyFont="1" applyFill="1" applyBorder="1" applyAlignment="1">
      <alignment horizontal="left"/>
    </xf>
    <xf numFmtId="0" fontId="6" fillId="45" borderId="10" xfId="0" applyFont="1" applyFill="1" applyBorder="1" applyAlignment="1">
      <alignment horizontal="left" wrapText="1"/>
    </xf>
    <xf numFmtId="0" fontId="6" fillId="45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right"/>
    </xf>
    <xf numFmtId="3" fontId="6" fillId="45" borderId="10" xfId="0" applyNumberFormat="1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3" fontId="6" fillId="45" borderId="10" xfId="0" applyNumberFormat="1" applyFont="1" applyFill="1" applyBorder="1" applyAlignment="1">
      <alignment horizontal="right"/>
    </xf>
    <xf numFmtId="3" fontId="12" fillId="45" borderId="10" xfId="0" applyNumberFormat="1" applyFont="1" applyFill="1" applyBorder="1" applyAlignment="1">
      <alignment/>
    </xf>
    <xf numFmtId="3" fontId="3" fillId="45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3" fillId="45" borderId="10" xfId="0" applyNumberFormat="1" applyFont="1" applyFill="1" applyBorder="1" applyAlignment="1">
      <alignment/>
    </xf>
    <xf numFmtId="0" fontId="3" fillId="33" borderId="62" xfId="0" applyFon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0" fontId="44" fillId="0" borderId="36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6" fontId="44" fillId="0" borderId="64" xfId="0" applyNumberFormat="1" applyFont="1" applyBorder="1" applyAlignment="1">
      <alignment horizontal="right"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0" fontId="44" fillId="0" borderId="64" xfId="0" applyFont="1" applyBorder="1" applyAlignment="1">
      <alignment horizontal="right"/>
    </xf>
    <xf numFmtId="6" fontId="45" fillId="0" borderId="64" xfId="0" applyNumberFormat="1" applyFont="1" applyBorder="1" applyAlignment="1">
      <alignment horizontal="right"/>
    </xf>
    <xf numFmtId="6" fontId="46" fillId="0" borderId="64" xfId="0" applyNumberFormat="1" applyFont="1" applyBorder="1" applyAlignment="1">
      <alignment horizontal="right"/>
    </xf>
    <xf numFmtId="0" fontId="5" fillId="0" borderId="14" xfId="0" applyFont="1" applyFill="1" applyBorder="1" applyAlignment="1">
      <alignment vertical="center"/>
    </xf>
    <xf numFmtId="0" fontId="1" fillId="0" borderId="0" xfId="56" applyFont="1">
      <alignment/>
      <protection/>
    </xf>
    <xf numFmtId="0" fontId="1" fillId="35" borderId="10" xfId="56" applyFont="1" applyFill="1" applyBorder="1">
      <alignment/>
      <protection/>
    </xf>
    <xf numFmtId="3" fontId="5" fillId="0" borderId="46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3" fontId="5" fillId="0" borderId="27" xfId="56" applyNumberFormat="1" applyFont="1" applyFill="1" applyBorder="1" applyAlignment="1">
      <alignment horizontal="center"/>
      <protection/>
    </xf>
    <xf numFmtId="0" fontId="3" fillId="40" borderId="24" xfId="0" applyFont="1" applyFill="1" applyBorder="1" applyAlignment="1">
      <alignment horizontal="left"/>
    </xf>
    <xf numFmtId="3" fontId="3" fillId="40" borderId="24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3" fontId="0" fillId="0" borderId="15" xfId="0" applyNumberFormat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12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12" fillId="0" borderId="62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" fillId="0" borderId="10" xfId="56" applyFont="1" applyFill="1" applyBorder="1">
      <alignment/>
      <protection/>
    </xf>
    <xf numFmtId="3" fontId="12" fillId="44" borderId="15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44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 vertical="center"/>
    </xf>
    <xf numFmtId="0" fontId="0" fillId="35" borderId="10" xfId="56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3" fontId="0" fillId="47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0" fillId="0" borderId="15" xfId="0" applyFont="1" applyBorder="1" applyAlignment="1">
      <alignment/>
    </xf>
    <xf numFmtId="3" fontId="0" fillId="46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26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1" fontId="0" fillId="0" borderId="39" xfId="0" applyNumberFormat="1" applyFont="1" applyBorder="1" applyAlignment="1">
      <alignment vertical="center"/>
    </xf>
    <xf numFmtId="10" fontId="0" fillId="0" borderId="0" xfId="63" applyNumberFormat="1" applyFont="1" applyAlignment="1">
      <alignment/>
    </xf>
    <xf numFmtId="4" fontId="5" fillId="0" borderId="15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wrapText="1"/>
    </xf>
    <xf numFmtId="4" fontId="0" fillId="0" borderId="15" xfId="0" applyNumberForma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10" xfId="0" applyBorder="1" applyAlignment="1">
      <alignment horizontal="right"/>
    </xf>
    <xf numFmtId="3" fontId="0" fillId="0" borderId="1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0" fillId="0" borderId="19" xfId="0" applyNumberForma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10" fontId="19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10" xfId="0" applyNumberFormat="1" applyBorder="1" applyAlignment="1">
      <alignment/>
    </xf>
    <xf numFmtId="10" fontId="18" fillId="0" borderId="10" xfId="0" applyNumberFormat="1" applyFont="1" applyBorder="1" applyAlignment="1">
      <alignment horizontal="right" wrapText="1"/>
    </xf>
    <xf numFmtId="10" fontId="5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10" fontId="26" fillId="0" borderId="10" xfId="0" applyNumberFormat="1" applyFont="1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0" fontId="24" fillId="0" borderId="10" xfId="0" applyNumberFormat="1" applyFont="1" applyBorder="1" applyAlignment="1">
      <alignment horizontal="center"/>
    </xf>
    <xf numFmtId="10" fontId="26" fillId="0" borderId="10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3" fontId="5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10" fontId="24" fillId="0" borderId="10" xfId="0" applyNumberFormat="1" applyFont="1" applyBorder="1" applyAlignment="1">
      <alignment horizontal="right"/>
    </xf>
    <xf numFmtId="10" fontId="24" fillId="0" borderId="10" xfId="0" applyNumberFormat="1" applyFont="1" applyBorder="1" applyAlignment="1">
      <alignment/>
    </xf>
    <xf numFmtId="0" fontId="24" fillId="0" borderId="19" xfId="0" applyFont="1" applyBorder="1" applyAlignment="1">
      <alignment/>
    </xf>
    <xf numFmtId="10" fontId="0" fillId="0" borderId="13" xfId="0" applyNumberFormat="1" applyBorder="1" applyAlignment="1">
      <alignment/>
    </xf>
    <xf numFmtId="0" fontId="26" fillId="0" borderId="19" xfId="0" applyFont="1" applyBorder="1" applyAlignment="1">
      <alignment/>
    </xf>
    <xf numFmtId="10" fontId="5" fillId="0" borderId="13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182" fontId="3" fillId="0" borderId="10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62" xfId="0" applyNumberFormat="1" applyFont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0" fillId="0" borderId="19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textRotation="180"/>
    </xf>
    <xf numFmtId="0" fontId="30" fillId="0" borderId="46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6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horizontal="left"/>
    </xf>
    <xf numFmtId="0" fontId="25" fillId="0" borderId="19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42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center"/>
    </xf>
    <xf numFmtId="0" fontId="8" fillId="48" borderId="0" xfId="0" applyFont="1" applyFill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4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33" borderId="74" xfId="0" applyFont="1" applyFill="1" applyBorder="1" applyAlignment="1">
      <alignment horizontal="left"/>
    </xf>
    <xf numFmtId="0" fontId="5" fillId="33" borderId="7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3" fontId="3" fillId="33" borderId="19" xfId="0" applyNumberFormat="1" applyFont="1" applyFill="1" applyBorder="1" applyAlignment="1">
      <alignment horizontal="left"/>
    </xf>
    <xf numFmtId="3" fontId="3" fillId="33" borderId="46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" fillId="33" borderId="44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eneia\Local%20Settings\Temporary%20Internet%20Files\Content.Outlook\J0TIHMH2\K&#246;lts&#233;gvet&#233;s%202013%20&#246;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m"/>
      <sheetName val="1am"/>
      <sheetName val="1bm"/>
      <sheetName val="2m"/>
      <sheetName val="2am"/>
      <sheetName val="2bm"/>
      <sheetName val="3am"/>
      <sheetName val="3bm"/>
      <sheetName val="4m"/>
      <sheetName val="4am"/>
      <sheetName val="4bm"/>
      <sheetName val="5m"/>
      <sheetName val="6m"/>
      <sheetName val="7m"/>
      <sheetName val="8m"/>
      <sheetName val="9m"/>
      <sheetName val="10m"/>
      <sheetName val="11m"/>
      <sheetName val="12m"/>
      <sheetName val="13m"/>
      <sheetName val="14m"/>
      <sheetName val="19m"/>
      <sheetName val="16m"/>
      <sheetName val="hitelkorlát"/>
      <sheetName val="Polg. Hiv"/>
      <sheetName val="841126-PHiv"/>
      <sheetName val="Bérek2013"/>
      <sheetName val="841125-115-Elsőfokú ép. hatóság"/>
      <sheetName val="841133-adó beszedése"/>
      <sheetName val="841112-117-Képviselőtestület"/>
      <sheetName val="841126-166-Többc.munk.sz."/>
      <sheetName val="Bérek önk."/>
      <sheetName val="862101-Háziorvosi alapellátás"/>
      <sheetName val="869041-Védőnő1"/>
      <sheetName val="869042-Védőnő2"/>
      <sheetName val="Önk."/>
      <sheetName val="841126-116-Önk. igazgatás"/>
      <sheetName val="890441-Közcélú 2012"/>
      <sheetName val="680001-Lakásgazd. "/>
      <sheetName val="841403- Városgazdálkodás"/>
      <sheetName val="841402-Közvilágítás"/>
      <sheetName val="Fejlesztési kiadások"/>
      <sheetName val="Fejlesztési bevételek"/>
      <sheetName val="Szennyvíztársulás"/>
      <sheetName val="682002-Nem lakóingatlanok"/>
      <sheetName val="841126-Finanszírozási műveletek"/>
      <sheetName val="Bérek kulcsszám sz."/>
      <sheetName val="841127-118-Kisebbségi önk."/>
      <sheetName val="842531-Polgári védelem"/>
      <sheetName val="931102-172-Sportcsarnok"/>
      <sheetName val="602000-CSTV"/>
      <sheetName val="901501-Közösségi ház "/>
      <sheetName val="882129-Öregek ebédje"/>
      <sheetName val="-Rendsz.szoc.pénz.ell."/>
      <sheetName val="882117-Rendsz.gyv.pénz.ell."/>
      <sheetName val="882119 - Óvodáztatási támogatás"/>
      <sheetName val="882111-Munkanélküli ellátások"/>
      <sheetName val="-Eseti pénz.szoc.ell."/>
      <sheetName val="882124-Eseti pénz.gyv.ell"/>
      <sheetName val="rehabilitációs hj "/>
      <sheetName val="bejáró 2012"/>
      <sheetName val="Körjegyzőség 2013"/>
      <sheetName val="pénzmaradvány"/>
      <sheetName val="Könyvtár"/>
      <sheetName val="Mozgókönyvtár elemi"/>
      <sheetName val="Múzeum"/>
      <sheetName val="Bérek könyvtár"/>
      <sheetName val="Elemi"/>
      <sheetName val="Városgazd"/>
      <sheetName val="841901-Önk saját bevételei"/>
    </sheetNames>
    <sheetDataSet>
      <sheetData sheetId="3">
        <row r="45">
          <cell r="B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64"/>
  <sheetViews>
    <sheetView view="pageBreakPreview" zoomScaleSheetLayoutView="100" zoomScalePageLayoutView="0" workbookViewId="0" topLeftCell="A37">
      <selection activeCell="A1" sqref="A1"/>
    </sheetView>
  </sheetViews>
  <sheetFormatPr defaultColWidth="9.140625" defaultRowHeight="12.75"/>
  <cols>
    <col min="1" max="1" width="70.140625" style="0" customWidth="1"/>
    <col min="2" max="6" width="14.140625" style="0" customWidth="1"/>
    <col min="7" max="7" width="13.140625" style="0" customWidth="1"/>
    <col min="8" max="8" width="11.421875" style="0" bestFit="1" customWidth="1"/>
    <col min="9" max="9" width="10.28125" style="0" bestFit="1" customWidth="1"/>
  </cols>
  <sheetData>
    <row r="1" spans="1:8" ht="12.75">
      <c r="A1" s="825"/>
      <c r="B1" s="1197"/>
      <c r="C1" s="1197"/>
      <c r="D1" s="894"/>
      <c r="E1" s="894"/>
      <c r="F1" s="895"/>
      <c r="G1" s="894" t="s">
        <v>1158</v>
      </c>
      <c r="H1" s="900"/>
    </row>
    <row r="2" spans="1:7" ht="12.75">
      <c r="A2" s="825"/>
      <c r="B2" s="825"/>
      <c r="C2" s="825"/>
      <c r="D2" s="825"/>
      <c r="E2" s="825"/>
      <c r="F2" s="896"/>
      <c r="G2" s="896"/>
    </row>
    <row r="3" spans="1:7" ht="12.75">
      <c r="A3" s="1200"/>
      <c r="B3" s="1200"/>
      <c r="C3" s="1200"/>
      <c r="D3" s="1200"/>
      <c r="E3" s="1200"/>
      <c r="F3" s="1200"/>
      <c r="G3" s="1200"/>
    </row>
    <row r="4" spans="1:7" ht="12.75">
      <c r="A4" s="825"/>
      <c r="B4" s="825"/>
      <c r="C4" s="825"/>
      <c r="D4" s="825"/>
      <c r="E4" s="825"/>
      <c r="F4" s="896"/>
      <c r="G4" s="896"/>
    </row>
    <row r="5" spans="1:7" ht="40.5" customHeight="1">
      <c r="A5" s="1199" t="s">
        <v>864</v>
      </c>
      <c r="B5" s="1199"/>
      <c r="C5" s="1199"/>
      <c r="D5" s="1199"/>
      <c r="E5" s="1199"/>
      <c r="F5" s="1199"/>
      <c r="G5" s="1199"/>
    </row>
    <row r="6" spans="1:7" ht="12.75">
      <c r="A6" s="825"/>
      <c r="B6" s="825"/>
      <c r="C6" s="825"/>
      <c r="D6" s="825"/>
      <c r="E6" s="825"/>
      <c r="F6" s="896"/>
      <c r="G6" s="896"/>
    </row>
    <row r="7" spans="1:7" ht="12.75">
      <c r="A7" s="897"/>
      <c r="B7" s="894"/>
      <c r="C7" s="825"/>
      <c r="D7" s="825"/>
      <c r="E7" s="825"/>
      <c r="F7" s="898"/>
      <c r="G7" s="894" t="s">
        <v>161</v>
      </c>
    </row>
    <row r="8" spans="1:7" ht="51">
      <c r="A8" s="53" t="s">
        <v>1026</v>
      </c>
      <c r="B8" s="17" t="s">
        <v>1320</v>
      </c>
      <c r="C8" s="17" t="s">
        <v>1512</v>
      </c>
      <c r="D8" s="244" t="s">
        <v>1528</v>
      </c>
      <c r="E8" s="244" t="s">
        <v>1529</v>
      </c>
      <c r="F8" s="899" t="s">
        <v>1321</v>
      </c>
      <c r="G8" s="899" t="s">
        <v>1322</v>
      </c>
    </row>
    <row r="9" spans="1:7" ht="12.75">
      <c r="A9" s="46" t="s">
        <v>516</v>
      </c>
      <c r="B9" s="49">
        <f>+B10+B11+B12+B13+B14-1</f>
        <v>937399.5519999999</v>
      </c>
      <c r="C9" s="49">
        <f>+C10+C11+C12+C13+C14-1</f>
        <v>947273.5519999999</v>
      </c>
      <c r="D9" s="49">
        <f>+D10+D11+D12+D13+D14</f>
        <v>497869.89200000005</v>
      </c>
      <c r="E9" s="1110">
        <f>D9/C9</f>
        <v>0.5255819619885261</v>
      </c>
      <c r="F9" s="885">
        <f>SUM(F10:F14)</f>
        <v>1361584</v>
      </c>
      <c r="G9" s="885">
        <f>SUM(G10:G14)</f>
        <v>1338761</v>
      </c>
    </row>
    <row r="10" spans="1:7" ht="12.75">
      <c r="A10" s="272" t="s">
        <v>517</v>
      </c>
      <c r="B10" s="18">
        <f>+2bm!B20</f>
        <v>357500</v>
      </c>
      <c r="C10" s="18">
        <f>+2bm!C20</f>
        <v>362106</v>
      </c>
      <c r="D10" s="18">
        <f>+2bm!D20</f>
        <v>169569.538</v>
      </c>
      <c r="E10" s="1110">
        <f aca="true" t="shared" si="0" ref="E10:E42">D10/C10</f>
        <v>0.4682870154043291</v>
      </c>
      <c r="F10" s="886">
        <v>527066</v>
      </c>
      <c r="G10" s="886">
        <v>591003</v>
      </c>
    </row>
    <row r="11" spans="1:7" ht="12.75">
      <c r="A11" s="272" t="s">
        <v>518</v>
      </c>
      <c r="B11" s="18">
        <f>+2bm!F20</f>
        <v>78876.09</v>
      </c>
      <c r="C11" s="18">
        <f>+2bm!G20</f>
        <v>80108.09</v>
      </c>
      <c r="D11" s="18">
        <f>+2bm!H20</f>
        <v>36301.05</v>
      </c>
      <c r="E11" s="1110">
        <f t="shared" si="0"/>
        <v>0.45315086154219886</v>
      </c>
      <c r="F11" s="886">
        <v>129385</v>
      </c>
      <c r="G11" s="886">
        <v>155111</v>
      </c>
    </row>
    <row r="12" spans="1:7" ht="12.75">
      <c r="A12" s="272" t="s">
        <v>520</v>
      </c>
      <c r="B12" s="18">
        <f>+2bm!J20</f>
        <v>276729.462</v>
      </c>
      <c r="C12" s="18">
        <f>+2bm!K20</f>
        <v>291377.462</v>
      </c>
      <c r="D12" s="18">
        <f>+2bm!L20</f>
        <v>182543.48400000003</v>
      </c>
      <c r="E12" s="1110">
        <f t="shared" si="0"/>
        <v>0.6264845700385708</v>
      </c>
      <c r="F12" s="886">
        <v>395286</v>
      </c>
      <c r="G12" s="886">
        <v>370691</v>
      </c>
    </row>
    <row r="13" spans="1:7" ht="12.75">
      <c r="A13" s="272" t="s">
        <v>519</v>
      </c>
      <c r="B13" s="18">
        <f>+2bm!N20</f>
        <v>122342</v>
      </c>
      <c r="C13" s="18">
        <f>+2bm!O20</f>
        <v>122342</v>
      </c>
      <c r="D13" s="18">
        <f>+2bm!P20</f>
        <v>57957.848999999995</v>
      </c>
      <c r="E13" s="1110">
        <f t="shared" si="0"/>
        <v>0.47373632113256275</v>
      </c>
      <c r="F13" s="886">
        <v>201360</v>
      </c>
      <c r="G13" s="886">
        <v>141149</v>
      </c>
    </row>
    <row r="14" spans="1:7" ht="12.75">
      <c r="A14" s="272" t="s">
        <v>521</v>
      </c>
      <c r="B14" s="18">
        <f>SUM(B15:B18)</f>
        <v>101953</v>
      </c>
      <c r="C14" s="18">
        <f>SUM(C15:C18)</f>
        <v>91341</v>
      </c>
      <c r="D14" s="18">
        <f>SUM(D15:D18)</f>
        <v>51497.971</v>
      </c>
      <c r="E14" s="1110">
        <f t="shared" si="0"/>
        <v>0.5637990716107771</v>
      </c>
      <c r="F14" s="886">
        <v>108487</v>
      </c>
      <c r="G14" s="886">
        <v>80807</v>
      </c>
    </row>
    <row r="15" spans="1:7" ht="12.75">
      <c r="A15" s="310" t="s">
        <v>522</v>
      </c>
      <c r="B15" s="18">
        <f>SUM(2bm!R20)</f>
        <v>12342</v>
      </c>
      <c r="C15" s="18">
        <f>SUM(2bm!S20)</f>
        <v>8402</v>
      </c>
      <c r="D15" s="18">
        <f>SUM(2bm!T20)</f>
        <v>6926.798</v>
      </c>
      <c r="E15" s="1110">
        <f t="shared" si="0"/>
        <v>0.8244225184479885</v>
      </c>
      <c r="F15" s="886">
        <v>50672</v>
      </c>
      <c r="G15" s="886">
        <v>21069</v>
      </c>
    </row>
    <row r="16" spans="1:7" ht="12.75">
      <c r="A16" s="310" t="s">
        <v>523</v>
      </c>
      <c r="B16" s="18">
        <f>SUM(2bm!V20)</f>
        <v>89611</v>
      </c>
      <c r="C16" s="18">
        <f>SUM(2bm!W20)</f>
        <v>82939</v>
      </c>
      <c r="D16" s="18">
        <f>SUM(2bm!X20)</f>
        <v>44571.172999999995</v>
      </c>
      <c r="E16" s="1110">
        <f t="shared" si="0"/>
        <v>0.5373970387875426</v>
      </c>
      <c r="F16" s="886">
        <v>57815</v>
      </c>
      <c r="G16" s="886">
        <v>59738</v>
      </c>
    </row>
    <row r="17" spans="1:7" ht="12.75">
      <c r="A17" s="310" t="s">
        <v>524</v>
      </c>
      <c r="B17" s="18">
        <v>0</v>
      </c>
      <c r="C17" s="18">
        <v>0</v>
      </c>
      <c r="D17" s="18">
        <v>0</v>
      </c>
      <c r="E17" s="1110">
        <v>0</v>
      </c>
      <c r="F17" s="886">
        <v>0</v>
      </c>
      <c r="G17" s="886">
        <v>0</v>
      </c>
    </row>
    <row r="18" spans="1:7" ht="12.75">
      <c r="A18" s="310" t="s">
        <v>525</v>
      </c>
      <c r="B18" s="18">
        <v>0</v>
      </c>
      <c r="C18" s="18">
        <v>0</v>
      </c>
      <c r="D18" s="18">
        <v>0</v>
      </c>
      <c r="E18" s="1110">
        <v>0</v>
      </c>
      <c r="F18" s="886">
        <v>0</v>
      </c>
      <c r="G18" s="886">
        <v>0</v>
      </c>
    </row>
    <row r="19" spans="1:7" ht="12.75">
      <c r="A19" s="327" t="s">
        <v>540</v>
      </c>
      <c r="B19" s="49">
        <f>+B20+B21+B22</f>
        <v>803617.7142677165</v>
      </c>
      <c r="C19" s="49">
        <f>+C20+C21+C22</f>
        <v>809998.7142677165</v>
      </c>
      <c r="D19" s="49">
        <f>+D20+D21+D22</f>
        <v>188778.41999999998</v>
      </c>
      <c r="E19" s="1110">
        <f t="shared" si="0"/>
        <v>0.23306014771969866</v>
      </c>
      <c r="F19" s="885">
        <f>SUM(F20:F22)-1</f>
        <v>1100375</v>
      </c>
      <c r="G19" s="885">
        <f>SUM(G20:G22)</f>
        <v>130529</v>
      </c>
    </row>
    <row r="20" spans="1:7" ht="12.75">
      <c r="A20" s="748" t="s">
        <v>541</v>
      </c>
      <c r="B20" s="7">
        <f>+4bm!J8</f>
        <v>753336</v>
      </c>
      <c r="C20" s="7">
        <f>+4bm!K8</f>
        <v>756638</v>
      </c>
      <c r="D20" s="7">
        <f>+4bm!L8</f>
        <v>187326.286</v>
      </c>
      <c r="E20" s="1110">
        <f t="shared" si="0"/>
        <v>0.24757715842979072</v>
      </c>
      <c r="F20" s="887">
        <v>224350</v>
      </c>
      <c r="G20" s="887">
        <v>118344</v>
      </c>
    </row>
    <row r="21" spans="1:7" ht="12.75">
      <c r="A21" s="748" t="s">
        <v>542</v>
      </c>
      <c r="B21" s="7">
        <f>+4bm!J29</f>
        <v>5080</v>
      </c>
      <c r="C21" s="7">
        <f>+4bm!K29</f>
        <v>7121</v>
      </c>
      <c r="D21" s="7">
        <f>+4bm!L29</f>
        <v>0</v>
      </c>
      <c r="E21" s="1110">
        <f t="shared" si="0"/>
        <v>0</v>
      </c>
      <c r="F21" s="887">
        <v>795539</v>
      </c>
      <c r="G21" s="887">
        <v>5840</v>
      </c>
    </row>
    <row r="22" spans="1:7" ht="12.75">
      <c r="A22" s="748" t="s">
        <v>249</v>
      </c>
      <c r="B22" s="7">
        <f>SUM(B23:B30)</f>
        <v>45201.71426771654</v>
      </c>
      <c r="C22" s="7">
        <f>SUM(C23:C30)</f>
        <v>46239.71426771654</v>
      </c>
      <c r="D22" s="7">
        <f>SUM(D23:D30)</f>
        <v>1452.134</v>
      </c>
      <c r="E22" s="1110">
        <f t="shared" si="0"/>
        <v>0.03140447606558514</v>
      </c>
      <c r="F22" s="887">
        <v>80487</v>
      </c>
      <c r="G22" s="887">
        <v>6345</v>
      </c>
    </row>
    <row r="23" spans="1:7" ht="12.75">
      <c r="A23" s="759" t="s">
        <v>250</v>
      </c>
      <c r="B23" s="7">
        <f>+4bm!J35</f>
        <v>0</v>
      </c>
      <c r="C23" s="7">
        <f>+4bm!K35</f>
        <v>750</v>
      </c>
      <c r="D23" s="7">
        <f>+4bm!L35</f>
        <v>810.59</v>
      </c>
      <c r="E23" s="1110">
        <f t="shared" si="0"/>
        <v>1.0807866666666668</v>
      </c>
      <c r="F23" s="887">
        <v>0</v>
      </c>
      <c r="G23" s="887">
        <v>0</v>
      </c>
    </row>
    <row r="24" spans="1:7" ht="12.75">
      <c r="A24" s="759" t="s">
        <v>251</v>
      </c>
      <c r="B24" s="7">
        <f>+4bm!J38</f>
        <v>1582</v>
      </c>
      <c r="C24" s="7">
        <f>+4bm!K38</f>
        <v>1870</v>
      </c>
      <c r="D24" s="7">
        <f>+4bm!L38</f>
        <v>641.544</v>
      </c>
      <c r="E24" s="1110">
        <f t="shared" si="0"/>
        <v>0.34307165775401066</v>
      </c>
      <c r="F24" s="887">
        <v>1582</v>
      </c>
      <c r="G24" s="887">
        <v>6345</v>
      </c>
    </row>
    <row r="25" spans="1:7" ht="12.75">
      <c r="A25" s="759" t="s">
        <v>252</v>
      </c>
      <c r="B25" s="7">
        <f>+4bm!J42</f>
        <v>0</v>
      </c>
      <c r="C25" s="7">
        <f>+4bm!K42</f>
        <v>0</v>
      </c>
      <c r="D25" s="7">
        <f>+4bm!L42</f>
        <v>0</v>
      </c>
      <c r="E25" s="1110">
        <v>0</v>
      </c>
      <c r="F25" s="887">
        <v>0</v>
      </c>
      <c r="G25" s="887">
        <v>0</v>
      </c>
    </row>
    <row r="26" spans="1:7" ht="12.75">
      <c r="A26" s="759" t="s">
        <v>694</v>
      </c>
      <c r="B26" s="7">
        <f>SUM(4bm!J43)</f>
        <v>6425.714267716536</v>
      </c>
      <c r="C26" s="7">
        <f>SUM(4bm!K43)</f>
        <v>6425.714267716536</v>
      </c>
      <c r="D26" s="7">
        <f>SUM(4bm!L43)</f>
        <v>0</v>
      </c>
      <c r="E26" s="1110">
        <f t="shared" si="0"/>
        <v>0</v>
      </c>
      <c r="F26" s="887">
        <v>21761</v>
      </c>
      <c r="G26" s="887">
        <v>0</v>
      </c>
    </row>
    <row r="27" spans="1:7" ht="12.75">
      <c r="A27" s="759" t="s">
        <v>695</v>
      </c>
      <c r="B27" s="7">
        <f>SUM(4bm!J45)</f>
        <v>5500</v>
      </c>
      <c r="C27" s="7">
        <f>SUM(4bm!K45)</f>
        <v>5500</v>
      </c>
      <c r="D27" s="7">
        <f>SUM(4bm!L45)</f>
        <v>0</v>
      </c>
      <c r="E27" s="1110">
        <f t="shared" si="0"/>
        <v>0</v>
      </c>
      <c r="F27" s="887">
        <v>53094</v>
      </c>
      <c r="G27" s="887">
        <v>0</v>
      </c>
    </row>
    <row r="28" spans="1:7" ht="12.75">
      <c r="A28" s="759" t="s">
        <v>696</v>
      </c>
      <c r="B28" s="7">
        <f>SUM(4bm!J47)</f>
        <v>4050</v>
      </c>
      <c r="C28" s="7">
        <f>SUM(4bm!K47)</f>
        <v>4050</v>
      </c>
      <c r="D28" s="7">
        <f>SUM(4bm!L47)</f>
        <v>0</v>
      </c>
      <c r="E28" s="1110">
        <f t="shared" si="0"/>
        <v>0</v>
      </c>
      <c r="F28" s="887">
        <v>4050</v>
      </c>
      <c r="G28" s="887">
        <v>0</v>
      </c>
    </row>
    <row r="29" spans="1:7" ht="12.75">
      <c r="A29" s="759" t="s">
        <v>337</v>
      </c>
      <c r="B29" s="7">
        <f>4bm!J49</f>
        <v>9491</v>
      </c>
      <c r="C29" s="7">
        <f>4bm!K49</f>
        <v>9491</v>
      </c>
      <c r="D29" s="7">
        <f>4bm!L49</f>
        <v>0</v>
      </c>
      <c r="E29" s="1110">
        <f t="shared" si="0"/>
        <v>0</v>
      </c>
      <c r="F29" s="887">
        <v>0</v>
      </c>
      <c r="G29" s="887">
        <v>0</v>
      </c>
    </row>
    <row r="30" spans="1:7" ht="12.75">
      <c r="A30" s="759" t="s">
        <v>1319</v>
      </c>
      <c r="B30" s="7">
        <f>4bm!J50</f>
        <v>18153</v>
      </c>
      <c r="C30" s="7">
        <f>4bm!K50</f>
        <v>18153</v>
      </c>
      <c r="D30" s="7">
        <f>4bm!L50</f>
        <v>0</v>
      </c>
      <c r="E30" s="1110">
        <f t="shared" si="0"/>
        <v>0</v>
      </c>
      <c r="F30" s="887">
        <v>0</v>
      </c>
      <c r="G30" s="887">
        <v>0</v>
      </c>
    </row>
    <row r="31" spans="1:7" ht="12.75">
      <c r="A31" s="46" t="s">
        <v>699</v>
      </c>
      <c r="B31" s="35">
        <v>0</v>
      </c>
      <c r="C31" s="35">
        <v>0</v>
      </c>
      <c r="D31" s="35">
        <v>0</v>
      </c>
      <c r="E31" s="1110">
        <v>0</v>
      </c>
      <c r="F31" s="885">
        <v>0</v>
      </c>
      <c r="G31" s="885">
        <v>2940</v>
      </c>
    </row>
    <row r="32" spans="1:7" ht="12.75">
      <c r="A32" s="10" t="s">
        <v>697</v>
      </c>
      <c r="B32" s="49">
        <f>+B33+B34</f>
        <v>242370.26244000002</v>
      </c>
      <c r="C32" s="49">
        <f>+C33+C34</f>
        <v>242370.26244000002</v>
      </c>
      <c r="D32" s="49">
        <f>+D33+D34</f>
        <v>70123.163</v>
      </c>
      <c r="E32" s="1110">
        <f t="shared" si="0"/>
        <v>0.2893224700672977</v>
      </c>
      <c r="F32" s="885">
        <f>SUM(F33:F34)</f>
        <v>137295</v>
      </c>
      <c r="G32" s="885">
        <f>SUM(G33:G34)</f>
        <v>458989</v>
      </c>
    </row>
    <row r="33" spans="1:7" ht="12.75">
      <c r="A33" s="272" t="s">
        <v>528</v>
      </c>
      <c r="B33" s="18">
        <f>+2am!Z20</f>
        <v>213346.15594000003</v>
      </c>
      <c r="C33" s="18">
        <f>+2am!AA20</f>
        <v>213346.15594000003</v>
      </c>
      <c r="D33" s="18">
        <f>+2am!AB20</f>
        <v>0</v>
      </c>
      <c r="E33" s="1110">
        <f t="shared" si="0"/>
        <v>0</v>
      </c>
      <c r="F33" s="886">
        <v>57260</v>
      </c>
      <c r="G33" s="886">
        <v>396599</v>
      </c>
    </row>
    <row r="34" spans="1:7" ht="12.75">
      <c r="A34" s="272" t="s">
        <v>253</v>
      </c>
      <c r="B34" s="18">
        <f>+4bm!J51</f>
        <v>29024.1065</v>
      </c>
      <c r="C34" s="18">
        <f>+4bm!K51</f>
        <v>29024.1065</v>
      </c>
      <c r="D34" s="18">
        <f>+4bm!L51</f>
        <v>70123.163</v>
      </c>
      <c r="E34" s="1110">
        <f t="shared" si="0"/>
        <v>2.4160317562230555</v>
      </c>
      <c r="F34" s="886">
        <v>80035</v>
      </c>
      <c r="G34" s="886">
        <v>62390</v>
      </c>
    </row>
    <row r="35" spans="1:7" ht="12.75">
      <c r="A35" s="46" t="s">
        <v>698</v>
      </c>
      <c r="B35" s="49">
        <f>+B36+B39</f>
        <v>400</v>
      </c>
      <c r="C35" s="49">
        <f>+C36+C39</f>
        <v>400</v>
      </c>
      <c r="D35" s="49">
        <v>0</v>
      </c>
      <c r="E35" s="1110">
        <f t="shared" si="0"/>
        <v>0</v>
      </c>
      <c r="F35" s="885">
        <f>F36+F39</f>
        <v>34298</v>
      </c>
      <c r="G35" s="885">
        <f>SUM(G36:G41)</f>
        <v>0</v>
      </c>
    </row>
    <row r="36" spans="1:7" ht="12.75">
      <c r="A36" s="150" t="s">
        <v>448</v>
      </c>
      <c r="B36" s="39">
        <f>B37+B38</f>
        <v>200</v>
      </c>
      <c r="C36" s="39">
        <f>C37+C38</f>
        <v>200</v>
      </c>
      <c r="D36" s="39">
        <v>0</v>
      </c>
      <c r="E36" s="1110">
        <f t="shared" si="0"/>
        <v>0</v>
      </c>
      <c r="F36" s="887">
        <f>F37+F38</f>
        <v>34098</v>
      </c>
      <c r="G36" s="887">
        <v>0</v>
      </c>
    </row>
    <row r="37" spans="1:7" ht="12.75">
      <c r="A37" s="760" t="s">
        <v>1389</v>
      </c>
      <c r="B37" s="7">
        <f>5m!B15</f>
        <v>100</v>
      </c>
      <c r="C37" s="8">
        <f>B37</f>
        <v>100</v>
      </c>
      <c r="D37" s="49">
        <v>0</v>
      </c>
      <c r="E37" s="1110">
        <f t="shared" si="0"/>
        <v>0</v>
      </c>
      <c r="F37" s="887">
        <v>33998</v>
      </c>
      <c r="G37" s="887">
        <v>0</v>
      </c>
    </row>
    <row r="38" spans="1:7" ht="12.75">
      <c r="A38" s="760" t="s">
        <v>1390</v>
      </c>
      <c r="B38" s="7">
        <f>5m!B16</f>
        <v>100</v>
      </c>
      <c r="C38" s="8">
        <f>B38</f>
        <v>100</v>
      </c>
      <c r="D38" s="49">
        <v>0</v>
      </c>
      <c r="E38" s="1110">
        <f t="shared" si="0"/>
        <v>0</v>
      </c>
      <c r="F38" s="887">
        <v>100</v>
      </c>
      <c r="G38" s="887">
        <v>0</v>
      </c>
    </row>
    <row r="39" spans="1:7" ht="12.75">
      <c r="A39" s="150" t="s">
        <v>1123</v>
      </c>
      <c r="B39" s="342">
        <f>SUM(B40:B41)</f>
        <v>200</v>
      </c>
      <c r="C39" s="342">
        <f>SUM(C40:C41)</f>
        <v>200</v>
      </c>
      <c r="D39" s="342">
        <v>0</v>
      </c>
      <c r="E39" s="1110">
        <f t="shared" si="0"/>
        <v>0</v>
      </c>
      <c r="F39" s="888">
        <f>SUM(F40:F41)</f>
        <v>200</v>
      </c>
      <c r="G39" s="888">
        <v>0</v>
      </c>
    </row>
    <row r="40" spans="1:7" ht="12.75">
      <c r="A40" s="760" t="s">
        <v>1389</v>
      </c>
      <c r="B40" s="7">
        <f>+5m!B19</f>
        <v>100</v>
      </c>
      <c r="C40" s="1095">
        <f>B40</f>
        <v>100</v>
      </c>
      <c r="D40" s="342">
        <v>0</v>
      </c>
      <c r="E40" s="1110">
        <f t="shared" si="0"/>
        <v>0</v>
      </c>
      <c r="F40" s="887">
        <v>100</v>
      </c>
      <c r="G40" s="887">
        <v>0</v>
      </c>
    </row>
    <row r="41" spans="1:7" ht="12.75">
      <c r="A41" s="760" t="s">
        <v>1390</v>
      </c>
      <c r="B41" s="7">
        <f>5m!B20</f>
        <v>100</v>
      </c>
      <c r="C41" s="1095">
        <f>B41</f>
        <v>100</v>
      </c>
      <c r="D41" s="342">
        <v>0</v>
      </c>
      <c r="E41" s="1110">
        <f t="shared" si="0"/>
        <v>0</v>
      </c>
      <c r="F41" s="887">
        <v>100</v>
      </c>
      <c r="G41" s="887">
        <v>0</v>
      </c>
    </row>
    <row r="42" spans="1:7" ht="15.75">
      <c r="A42" s="153" t="s">
        <v>449</v>
      </c>
      <c r="B42" s="155">
        <f>+B9+B19+B32+B35</f>
        <v>1983787.5287077164</v>
      </c>
      <c r="C42" s="155">
        <f>+C9+C19+C32+C35</f>
        <v>2000042.5287077164</v>
      </c>
      <c r="D42" s="155">
        <f>+D9+D19+D32+D35</f>
        <v>756771.4750000001</v>
      </c>
      <c r="E42" s="1196">
        <f t="shared" si="0"/>
        <v>0.37837769154287504</v>
      </c>
      <c r="F42" s="889">
        <f>SUM(F9,F19,F31,F32,F35)</f>
        <v>2633552</v>
      </c>
      <c r="G42" s="889">
        <f>SUM(G9,G19,G31,G32,G35)</f>
        <v>1931219</v>
      </c>
    </row>
    <row r="43" spans="1:7" ht="12.75">
      <c r="A43" s="749"/>
      <c r="B43" s="271"/>
      <c r="C43" s="700"/>
      <c r="D43" s="894"/>
      <c r="E43" s="894"/>
      <c r="F43" s="890"/>
      <c r="G43" s="890"/>
    </row>
    <row r="44" spans="1:7" ht="15" customHeight="1">
      <c r="A44" s="12" t="s">
        <v>1280</v>
      </c>
      <c r="B44" s="49">
        <f>+B45+B46+B47+B48</f>
        <v>1089689.493564</v>
      </c>
      <c r="C44" s="49">
        <f>+C45+C46+C47+C48</f>
        <v>1099563.493564</v>
      </c>
      <c r="D44" s="49">
        <f>+D45+D46+D47+D48</f>
        <v>627110.276</v>
      </c>
      <c r="E44" s="1110">
        <f>D44/C44</f>
        <v>0.5703265701986486</v>
      </c>
      <c r="F44" s="885">
        <f>SUM(F45:F48)</f>
        <v>1176220</v>
      </c>
      <c r="G44" s="885">
        <f>SUM(G45:G48)</f>
        <v>1407581</v>
      </c>
    </row>
    <row r="45" spans="1:7" s="10" customFormat="1" ht="12.75">
      <c r="A45" s="14" t="s">
        <v>1391</v>
      </c>
      <c r="B45" s="18">
        <f>1bm!B22</f>
        <v>79401</v>
      </c>
      <c r="C45" s="18">
        <f>1bm!C22</f>
        <v>84887</v>
      </c>
      <c r="D45" s="18">
        <f>1bm!D22</f>
        <v>44922.91500000001</v>
      </c>
      <c r="E45" s="1110">
        <f aca="true" t="shared" si="1" ref="E45:E62">D45/C45</f>
        <v>0.5292084182501444</v>
      </c>
      <c r="F45" s="886">
        <v>56652</v>
      </c>
      <c r="G45" s="886">
        <v>71519</v>
      </c>
    </row>
    <row r="46" spans="1:7" s="25" customFormat="1" ht="12.75">
      <c r="A46" s="491" t="s">
        <v>1392</v>
      </c>
      <c r="B46" s="18">
        <f>1bm!F22</f>
        <v>124600</v>
      </c>
      <c r="C46" s="18">
        <f>1bm!G22</f>
        <v>124600</v>
      </c>
      <c r="D46" s="18">
        <f>1bm!H22</f>
        <v>80756.853</v>
      </c>
      <c r="E46" s="1110">
        <f t="shared" si="1"/>
        <v>0.6481288362760835</v>
      </c>
      <c r="F46" s="886">
        <v>326979</v>
      </c>
      <c r="G46" s="886">
        <v>333817</v>
      </c>
    </row>
    <row r="47" spans="1:7" s="41" customFormat="1" ht="12.75">
      <c r="A47" s="491" t="s">
        <v>1393</v>
      </c>
      <c r="B47" s="549">
        <f>1bm!J22</f>
        <v>651100.493564</v>
      </c>
      <c r="C47" s="549">
        <f>1bm!K22</f>
        <v>655488.493564</v>
      </c>
      <c r="D47" s="549">
        <f>1bm!L22</f>
        <v>389961.648</v>
      </c>
      <c r="E47" s="1110">
        <f t="shared" si="1"/>
        <v>0.5949176100402825</v>
      </c>
      <c r="F47" s="891">
        <v>493709</v>
      </c>
      <c r="G47" s="891">
        <v>706830</v>
      </c>
    </row>
    <row r="48" spans="1:7" s="41" customFormat="1" ht="12.75">
      <c r="A48" s="491" t="s">
        <v>1394</v>
      </c>
      <c r="B48" s="18">
        <f>1bm!N22+1bm!R22</f>
        <v>234588</v>
      </c>
      <c r="C48" s="18">
        <f>1bm!O22+1bm!S22</f>
        <v>234588</v>
      </c>
      <c r="D48" s="18">
        <f>1bm!P22+1bm!T22</f>
        <v>111468.86</v>
      </c>
      <c r="E48" s="1110">
        <f t="shared" si="1"/>
        <v>0.47516863607686666</v>
      </c>
      <c r="F48" s="886">
        <v>298880</v>
      </c>
      <c r="G48" s="886">
        <v>295415</v>
      </c>
    </row>
    <row r="49" spans="1:7" s="41" customFormat="1" ht="12.75">
      <c r="A49" s="46" t="s">
        <v>1395</v>
      </c>
      <c r="B49" s="49">
        <f>+B50+B51+B52+B53</f>
        <v>825337.4639</v>
      </c>
      <c r="C49" s="49">
        <f>+C50+C51+C52+C53</f>
        <v>831718.4639</v>
      </c>
      <c r="D49" s="49">
        <f>+D50+D51+D52+D53</f>
        <v>174129.955</v>
      </c>
      <c r="E49" s="1110">
        <f t="shared" si="1"/>
        <v>0.20936165608671176</v>
      </c>
      <c r="F49" s="885">
        <f>SUM(F50:F52)</f>
        <v>1185788</v>
      </c>
      <c r="G49" s="885">
        <f>SUM(G50:G52)</f>
        <v>143929</v>
      </c>
    </row>
    <row r="50" spans="1:7" s="41" customFormat="1" ht="12.75">
      <c r="A50" s="616" t="s">
        <v>1396</v>
      </c>
      <c r="B50" s="620">
        <f>4am!B8</f>
        <v>74991</v>
      </c>
      <c r="C50" s="620">
        <f>4am!C8</f>
        <v>81372</v>
      </c>
      <c r="D50" s="620">
        <f>4am!D8</f>
        <v>532.8199999999999</v>
      </c>
      <c r="E50" s="1110">
        <f t="shared" si="1"/>
        <v>0.006547952612692326</v>
      </c>
      <c r="F50" s="892">
        <v>180628</v>
      </c>
      <c r="G50" s="892">
        <v>45001</v>
      </c>
    </row>
    <row r="51" spans="1:7" s="41" customFormat="1" ht="12.75">
      <c r="A51" s="616" t="s">
        <v>1397</v>
      </c>
      <c r="B51" s="620">
        <f>4am!B22</f>
        <v>80219.4639</v>
      </c>
      <c r="C51" s="620">
        <f>4am!C22</f>
        <v>80219.4639</v>
      </c>
      <c r="D51" s="620">
        <f>4am!D22</f>
        <v>1757.046</v>
      </c>
      <c r="E51" s="1110">
        <f t="shared" si="1"/>
        <v>0.021902988558865202</v>
      </c>
      <c r="F51" s="892">
        <v>61223</v>
      </c>
      <c r="G51" s="892">
        <v>14423</v>
      </c>
    </row>
    <row r="52" spans="1:7" s="41" customFormat="1" ht="12.75">
      <c r="A52" s="626" t="s">
        <v>689</v>
      </c>
      <c r="B52" s="620">
        <f>4am!B33</f>
        <v>660592</v>
      </c>
      <c r="C52" s="620">
        <f>4am!C33</f>
        <v>660592</v>
      </c>
      <c r="D52" s="620">
        <f>4am!D33</f>
        <v>171840.08899999998</v>
      </c>
      <c r="E52" s="1110">
        <f t="shared" si="1"/>
        <v>0.26013044208830866</v>
      </c>
      <c r="F52" s="892">
        <v>943937</v>
      </c>
      <c r="G52" s="892">
        <v>84505</v>
      </c>
    </row>
    <row r="53" spans="1:7" s="41" customFormat="1" ht="12.75">
      <c r="A53" s="626" t="s">
        <v>1437</v>
      </c>
      <c r="B53" s="620">
        <f>4am!B47</f>
        <v>9535</v>
      </c>
      <c r="C53" s="620">
        <f>4am!C47</f>
        <v>9535</v>
      </c>
      <c r="D53" s="620">
        <f>4am!D47</f>
        <v>0</v>
      </c>
      <c r="E53" s="1110">
        <f t="shared" si="1"/>
        <v>0</v>
      </c>
      <c r="F53" s="892">
        <v>0</v>
      </c>
      <c r="G53" s="892">
        <v>0</v>
      </c>
    </row>
    <row r="54" spans="1:7" s="41" customFormat="1" ht="12.75">
      <c r="A54" s="628" t="s">
        <v>690</v>
      </c>
      <c r="B54" s="177">
        <v>0</v>
      </c>
      <c r="C54" s="177">
        <v>0</v>
      </c>
      <c r="D54" s="177">
        <v>0</v>
      </c>
      <c r="E54" s="1110">
        <v>0</v>
      </c>
      <c r="F54" s="893">
        <v>0</v>
      </c>
      <c r="G54" s="893">
        <v>0</v>
      </c>
    </row>
    <row r="55" spans="1:7" s="10" customFormat="1" ht="12.75">
      <c r="A55" s="12" t="s">
        <v>691</v>
      </c>
      <c r="B55" s="49">
        <f>+B57+B58+B60+B61</f>
        <v>68762</v>
      </c>
      <c r="C55" s="49">
        <f>+C57+C58+C60+C61</f>
        <v>68762</v>
      </c>
      <c r="D55" s="49">
        <f>+D57+D58+D60+D61</f>
        <v>0</v>
      </c>
      <c r="E55" s="1110">
        <f t="shared" si="1"/>
        <v>0</v>
      </c>
      <c r="F55" s="885">
        <f>SUM(F56:F61)</f>
        <v>271544</v>
      </c>
      <c r="G55" s="885">
        <f>SUM(G58,G61)</f>
        <v>518784</v>
      </c>
    </row>
    <row r="56" spans="1:7" ht="12.75">
      <c r="A56" s="318" t="s">
        <v>421</v>
      </c>
      <c r="B56" s="39"/>
      <c r="C56" s="7"/>
      <c r="D56" s="7"/>
      <c r="E56" s="1110">
        <v>0</v>
      </c>
      <c r="F56" s="887"/>
      <c r="G56" s="887"/>
    </row>
    <row r="57" spans="1:7" ht="25.5">
      <c r="A57" s="735" t="s">
        <v>422</v>
      </c>
      <c r="B57" s="39">
        <f>2m!B52</f>
        <v>61257</v>
      </c>
      <c r="C57" s="39">
        <f>2m!C52</f>
        <v>61257</v>
      </c>
      <c r="D57" s="39">
        <v>0</v>
      </c>
      <c r="E57" s="1110">
        <f t="shared" si="1"/>
        <v>0</v>
      </c>
      <c r="F57" s="887">
        <v>3021</v>
      </c>
      <c r="G57" s="887">
        <v>0</v>
      </c>
    </row>
    <row r="58" spans="1:7" ht="12.75">
      <c r="A58" s="736" t="s">
        <v>543</v>
      </c>
      <c r="B58" s="39"/>
      <c r="C58" s="39"/>
      <c r="D58" s="39">
        <v>0</v>
      </c>
      <c r="E58" s="1110">
        <v>0</v>
      </c>
      <c r="F58" s="887">
        <v>239803</v>
      </c>
      <c r="G58" s="887">
        <v>475984</v>
      </c>
    </row>
    <row r="59" spans="1:7" ht="12.75">
      <c r="A59" s="705" t="s">
        <v>1138</v>
      </c>
      <c r="B59" s="39"/>
      <c r="C59" s="39"/>
      <c r="D59" s="39">
        <v>0</v>
      </c>
      <c r="E59" s="1110">
        <v>0</v>
      </c>
      <c r="F59" s="887"/>
      <c r="G59" s="887"/>
    </row>
    <row r="60" spans="1:7" ht="25.5">
      <c r="A60" s="736" t="s">
        <v>424</v>
      </c>
      <c r="B60" s="39">
        <f>4am!B50</f>
        <v>7505</v>
      </c>
      <c r="C60" s="39">
        <f>4am!C50</f>
        <v>7505</v>
      </c>
      <c r="D60" s="39">
        <v>0</v>
      </c>
      <c r="E60" s="1110">
        <f t="shared" si="1"/>
        <v>0</v>
      </c>
      <c r="F60" s="887">
        <v>28720</v>
      </c>
      <c r="G60" s="887">
        <v>0</v>
      </c>
    </row>
    <row r="61" spans="1:7" ht="12.75">
      <c r="A61" s="736" t="s">
        <v>425</v>
      </c>
      <c r="B61" s="39">
        <f>+4am!B49</f>
        <v>0</v>
      </c>
      <c r="C61" s="39"/>
      <c r="D61" s="39"/>
      <c r="E61" s="1110">
        <v>0</v>
      </c>
      <c r="F61" s="887">
        <v>0</v>
      </c>
      <c r="G61" s="887">
        <v>42800</v>
      </c>
    </row>
    <row r="62" spans="1:7" s="30" customFormat="1" ht="15.75">
      <c r="A62" s="153" t="s">
        <v>446</v>
      </c>
      <c r="B62" s="761">
        <f>+B44+B49+B55-1</f>
        <v>1983787.9574639997</v>
      </c>
      <c r="C62" s="761">
        <f>+C44+C49+C55-1</f>
        <v>2000042.9574639997</v>
      </c>
      <c r="D62" s="761">
        <f>+D44+D49+D55-1</f>
        <v>801239.2309999999</v>
      </c>
      <c r="E62" s="1196">
        <f t="shared" si="1"/>
        <v>0.400611010883461</v>
      </c>
      <c r="F62" s="889">
        <f>SUM(F44,F49,F55)</f>
        <v>2633552</v>
      </c>
      <c r="G62" s="889">
        <f>SUM(G44,G49,G55,G54)</f>
        <v>2070294</v>
      </c>
    </row>
    <row r="63" spans="1:6" ht="12.75">
      <c r="A63" s="1198"/>
      <c r="B63" s="1198"/>
      <c r="C63" s="1198"/>
      <c r="D63" s="876"/>
      <c r="E63" s="876"/>
      <c r="F63" s="876"/>
    </row>
    <row r="64" spans="2:7" ht="12.75">
      <c r="B64" s="8"/>
      <c r="F64" s="8"/>
      <c r="G64" s="8"/>
    </row>
  </sheetData>
  <sheetProtection/>
  <mergeCells count="4">
    <mergeCell ref="B1:C1"/>
    <mergeCell ref="A63:C63"/>
    <mergeCell ref="A5:G5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52"/>
  <sheetViews>
    <sheetView view="pageBreakPreview" zoomScaleSheetLayoutView="100" zoomScalePageLayoutView="0" workbookViewId="0" topLeftCell="A43">
      <selection activeCell="B7" sqref="B7:C7"/>
    </sheetView>
  </sheetViews>
  <sheetFormatPr defaultColWidth="9.140625" defaultRowHeight="12.75"/>
  <cols>
    <col min="1" max="1" width="70.8515625" style="0" customWidth="1"/>
    <col min="2" max="2" width="16.421875" style="0" customWidth="1"/>
    <col min="3" max="3" width="16.57421875" style="0" customWidth="1"/>
    <col min="4" max="4" width="13.421875" style="0" customWidth="1"/>
    <col min="5" max="5" width="11.28125" style="0" customWidth="1"/>
  </cols>
  <sheetData>
    <row r="1" spans="3:5" s="148" customFormat="1" ht="15.75">
      <c r="C1" s="1292" t="s">
        <v>546</v>
      </c>
      <c r="D1" s="1292"/>
      <c r="E1" s="1292"/>
    </row>
    <row r="2" spans="1:5" s="148" customFormat="1" ht="15.75">
      <c r="A2" s="1225"/>
      <c r="B2" s="1225"/>
      <c r="C2" s="1225"/>
      <c r="D2" s="1225"/>
      <c r="E2" s="1225"/>
    </row>
    <row r="3" s="148" customFormat="1" ht="15.75">
      <c r="B3" s="211"/>
    </row>
    <row r="4" spans="1:5" s="148" customFormat="1" ht="15.75" customHeight="1">
      <c r="A4" s="1213" t="s">
        <v>1536</v>
      </c>
      <c r="B4" s="1213"/>
      <c r="C4" s="1213"/>
      <c r="D4" s="1213"/>
      <c r="E4" s="1213"/>
    </row>
    <row r="5" s="148" customFormat="1" ht="15.75">
      <c r="A5" s="662"/>
    </row>
    <row r="6" spans="1:5" ht="12.75">
      <c r="A6" s="1291" t="s">
        <v>297</v>
      </c>
      <c r="B6" s="1291"/>
      <c r="C6" s="1291"/>
      <c r="D6" s="1291"/>
      <c r="E6" s="1291"/>
    </row>
    <row r="7" spans="1:5" ht="41.25" customHeight="1">
      <c r="A7" s="212" t="s">
        <v>1026</v>
      </c>
      <c r="B7" s="261" t="s">
        <v>160</v>
      </c>
      <c r="C7" s="261" t="s">
        <v>1513</v>
      </c>
      <c r="D7" s="1132" t="s">
        <v>1528</v>
      </c>
      <c r="E7" s="1194" t="s">
        <v>1529</v>
      </c>
    </row>
    <row r="8" spans="1:5" s="10" customFormat="1" ht="27" customHeight="1">
      <c r="A8" s="133" t="s">
        <v>298</v>
      </c>
      <c r="B8" s="213">
        <f>B9+B15</f>
        <v>74991</v>
      </c>
      <c r="C8" s="213">
        <f>C9+C15</f>
        <v>81372</v>
      </c>
      <c r="D8" s="213">
        <f>D9+D15</f>
        <v>532.8199999999999</v>
      </c>
      <c r="E8" s="1112">
        <f>D8/C8</f>
        <v>0.006547952612692326</v>
      </c>
    </row>
    <row r="9" spans="1:5" ht="27" customHeight="1">
      <c r="A9" s="1061" t="s">
        <v>299</v>
      </c>
      <c r="B9" s="881">
        <f>SUM(B10:B13)</f>
        <v>31437</v>
      </c>
      <c r="C9" s="881">
        <f>SUM(C10:C13)</f>
        <v>37818</v>
      </c>
      <c r="D9" s="881">
        <f>SUM(D10:D14)</f>
        <v>393.412</v>
      </c>
      <c r="E9" s="1112">
        <f aca="true" t="shared" si="0" ref="E9:E52">D9/C9</f>
        <v>0.010402771167169072</v>
      </c>
    </row>
    <row r="10" spans="1:5" ht="27" customHeight="1">
      <c r="A10" s="115" t="s">
        <v>300</v>
      </c>
      <c r="B10" s="215">
        <v>0</v>
      </c>
      <c r="C10" s="215">
        <v>0</v>
      </c>
      <c r="D10" s="7">
        <v>0</v>
      </c>
      <c r="E10" s="1112">
        <v>0</v>
      </c>
    </row>
    <row r="11" spans="1:5" ht="27" customHeight="1">
      <c r="A11" s="115" t="s">
        <v>663</v>
      </c>
      <c r="B11" s="215">
        <v>0</v>
      </c>
      <c r="C11" s="215">
        <v>0</v>
      </c>
      <c r="D11" s="7">
        <v>0</v>
      </c>
      <c r="E11" s="1112">
        <v>0</v>
      </c>
    </row>
    <row r="12" spans="1:5" ht="27" customHeight="1">
      <c r="A12" s="115" t="s">
        <v>664</v>
      </c>
      <c r="B12" s="215">
        <v>25437</v>
      </c>
      <c r="C12" s="215">
        <f>25437+750+3302+2041+288</f>
        <v>31818</v>
      </c>
      <c r="D12" s="7">
        <v>0</v>
      </c>
      <c r="E12" s="1112">
        <f t="shared" si="0"/>
        <v>0</v>
      </c>
    </row>
    <row r="13" spans="1:5" ht="27" customHeight="1">
      <c r="A13" s="115" t="s">
        <v>665</v>
      </c>
      <c r="B13" s="215">
        <v>6000</v>
      </c>
      <c r="C13" s="215">
        <v>6000</v>
      </c>
      <c r="D13" s="7">
        <v>0</v>
      </c>
      <c r="E13" s="1112">
        <f t="shared" si="0"/>
        <v>0</v>
      </c>
    </row>
    <row r="14" spans="1:5" ht="27" customHeight="1">
      <c r="A14" s="115" t="s">
        <v>1564</v>
      </c>
      <c r="B14" s="215">
        <v>0</v>
      </c>
      <c r="C14" s="215">
        <v>0</v>
      </c>
      <c r="D14" s="215">
        <v>393.412</v>
      </c>
      <c r="E14" s="1112">
        <v>0</v>
      </c>
    </row>
    <row r="15" spans="1:5" ht="27" customHeight="1">
      <c r="A15" s="1061" t="s">
        <v>301</v>
      </c>
      <c r="B15" s="881">
        <f>SUM(B16:B20)</f>
        <v>43554</v>
      </c>
      <c r="C15" s="881">
        <f>SUM(C16:C20)</f>
        <v>43554</v>
      </c>
      <c r="D15" s="881">
        <f>SUM(D16:D20)</f>
        <v>139.408</v>
      </c>
      <c r="E15" s="1112">
        <f t="shared" si="0"/>
        <v>0.0032008081921293106</v>
      </c>
    </row>
    <row r="16" spans="1:5" ht="27" customHeight="1">
      <c r="A16" s="115" t="s">
        <v>302</v>
      </c>
      <c r="B16" s="215">
        <f>'Fejlesztési bevételek'!E15</f>
        <v>2704</v>
      </c>
      <c r="C16" s="215">
        <f aca="true" t="shared" si="1" ref="C16:C21">B16</f>
        <v>2704</v>
      </c>
      <c r="D16" s="215">
        <v>43.4</v>
      </c>
      <c r="E16" s="1112">
        <f t="shared" si="0"/>
        <v>0.016050295857988166</v>
      </c>
    </row>
    <row r="17" spans="1:5" ht="27" customHeight="1">
      <c r="A17" s="115" t="s">
        <v>463</v>
      </c>
      <c r="B17" s="215">
        <f>'Fejlesztési bevételek'!E16</f>
        <v>100</v>
      </c>
      <c r="C17" s="215">
        <f t="shared" si="1"/>
        <v>100</v>
      </c>
      <c r="D17" s="7"/>
      <c r="E17" s="1112">
        <f t="shared" si="0"/>
        <v>0</v>
      </c>
    </row>
    <row r="18" spans="1:5" ht="27" customHeight="1">
      <c r="A18" s="115" t="s">
        <v>464</v>
      </c>
      <c r="B18" s="215">
        <f>'Fejlesztési bevételek'!E17</f>
        <v>2000</v>
      </c>
      <c r="C18" s="215">
        <f t="shared" si="1"/>
        <v>2000</v>
      </c>
      <c r="D18" s="215">
        <f>14.961+62.989+17.793+0.265</f>
        <v>96.008</v>
      </c>
      <c r="E18" s="1112">
        <f t="shared" si="0"/>
        <v>0.048004</v>
      </c>
    </row>
    <row r="19" spans="1:5" ht="27" customHeight="1">
      <c r="A19" s="115" t="s">
        <v>465</v>
      </c>
      <c r="B19" s="215">
        <f>'Fejlesztési bevételek'!E19+'Fejlesztési bevételek'!E18</f>
        <v>19050</v>
      </c>
      <c r="C19" s="215">
        <f t="shared" si="1"/>
        <v>19050</v>
      </c>
      <c r="D19" s="7"/>
      <c r="E19" s="1112">
        <f t="shared" si="0"/>
        <v>0</v>
      </c>
    </row>
    <row r="20" spans="1:5" ht="27" customHeight="1">
      <c r="A20" s="615" t="s">
        <v>466</v>
      </c>
      <c r="B20" s="215">
        <f>'Fejlesztési bevételek'!E20</f>
        <v>19700</v>
      </c>
      <c r="C20" s="215">
        <f t="shared" si="1"/>
        <v>19700</v>
      </c>
      <c r="D20" s="7"/>
      <c r="E20" s="1112">
        <f t="shared" si="0"/>
        <v>0</v>
      </c>
    </row>
    <row r="21" spans="1:5" ht="27" customHeight="1">
      <c r="A21" s="1069" t="s">
        <v>254</v>
      </c>
      <c r="B21" s="215">
        <v>0</v>
      </c>
      <c r="C21" s="215">
        <f t="shared" si="1"/>
        <v>0</v>
      </c>
      <c r="D21" s="7"/>
      <c r="E21" s="1112"/>
    </row>
    <row r="22" spans="1:5" s="10" customFormat="1" ht="27" customHeight="1">
      <c r="A22" s="133" t="s">
        <v>1357</v>
      </c>
      <c r="B22" s="213">
        <f>+B23+B31</f>
        <v>80219.4639</v>
      </c>
      <c r="C22" s="213">
        <f>+C23+C31</f>
        <v>80219.4639</v>
      </c>
      <c r="D22" s="213">
        <f>+D23+D31</f>
        <v>1757.046</v>
      </c>
      <c r="E22" s="1112">
        <f t="shared" si="0"/>
        <v>0.021902988558865202</v>
      </c>
    </row>
    <row r="23" spans="1:5" s="10" customFormat="1" ht="27" customHeight="1">
      <c r="A23" s="1061" t="s">
        <v>1358</v>
      </c>
      <c r="B23" s="336">
        <f>SUM(B24:B30)</f>
        <v>75490.4639</v>
      </c>
      <c r="C23" s="336">
        <f>SUM(C24:C30)</f>
        <v>75490.4639</v>
      </c>
      <c r="D23" s="336">
        <f>SUM(D24:D30)</f>
        <v>1757.046</v>
      </c>
      <c r="E23" s="1112">
        <f t="shared" si="0"/>
        <v>0.023275072230679456</v>
      </c>
    </row>
    <row r="24" spans="1:6" ht="27" customHeight="1">
      <c r="A24" s="752" t="s">
        <v>666</v>
      </c>
      <c r="B24" s="215">
        <f>'Fejlesztési bevételek'!E32</f>
        <v>18334</v>
      </c>
      <c r="C24" s="215">
        <f>B24</f>
        <v>18334</v>
      </c>
      <c r="D24" s="1193"/>
      <c r="E24" s="1112">
        <f t="shared" si="0"/>
        <v>0</v>
      </c>
      <c r="F24" s="410"/>
    </row>
    <row r="25" spans="1:6" ht="27" customHeight="1">
      <c r="A25" s="752" t="s">
        <v>505</v>
      </c>
      <c r="B25" s="215">
        <f>'Fejlesztési bevételek'!E33</f>
        <v>1797</v>
      </c>
      <c r="C25" s="215">
        <f aca="true" t="shared" si="2" ref="C25:C32">B25</f>
        <v>1797</v>
      </c>
      <c r="D25" s="1193"/>
      <c r="E25" s="1112">
        <f t="shared" si="0"/>
        <v>0</v>
      </c>
      <c r="F25" s="410"/>
    </row>
    <row r="26" spans="1:6" ht="27" customHeight="1">
      <c r="A26" s="752" t="s">
        <v>506</v>
      </c>
      <c r="B26" s="215">
        <f>'Fejlesztési bevételek'!E26</f>
        <v>2995</v>
      </c>
      <c r="C26" s="215">
        <f t="shared" si="2"/>
        <v>2995</v>
      </c>
      <c r="D26" s="215">
        <v>56.719</v>
      </c>
      <c r="E26" s="1112">
        <f t="shared" si="0"/>
        <v>0.01893789649415693</v>
      </c>
      <c r="F26" s="410"/>
    </row>
    <row r="27" spans="1:6" ht="31.5" customHeight="1">
      <c r="A27" s="753" t="s">
        <v>1445</v>
      </c>
      <c r="B27" s="215">
        <f>'Fejlesztési bevételek'!E29</f>
        <v>10984</v>
      </c>
      <c r="C27" s="215">
        <f t="shared" si="2"/>
        <v>10984</v>
      </c>
      <c r="D27" s="1193"/>
      <c r="E27" s="1112">
        <f t="shared" si="0"/>
        <v>0</v>
      </c>
      <c r="F27" s="410"/>
    </row>
    <row r="28" spans="1:6" ht="31.5" customHeight="1">
      <c r="A28" s="753" t="s">
        <v>1446</v>
      </c>
      <c r="B28" s="215">
        <f>'Fejlesztési bevételek'!E35</f>
        <v>5297</v>
      </c>
      <c r="C28" s="215">
        <f t="shared" si="2"/>
        <v>5297</v>
      </c>
      <c r="D28" s="215">
        <v>1700.327</v>
      </c>
      <c r="E28" s="1112">
        <f t="shared" si="0"/>
        <v>0.3209981121389466</v>
      </c>
      <c r="F28" s="410"/>
    </row>
    <row r="29" spans="1:6" ht="31.5" customHeight="1">
      <c r="A29" s="753" t="s">
        <v>1317</v>
      </c>
      <c r="B29" s="215">
        <v>18669</v>
      </c>
      <c r="C29" s="215">
        <f t="shared" si="2"/>
        <v>18669</v>
      </c>
      <c r="D29" s="1193"/>
      <c r="E29" s="1112">
        <f t="shared" si="0"/>
        <v>0</v>
      </c>
      <c r="F29" s="410"/>
    </row>
    <row r="30" spans="1:6" ht="31.5" customHeight="1">
      <c r="A30" s="753" t="s">
        <v>1316</v>
      </c>
      <c r="B30" s="215">
        <f>('Fejlesztési kiadások'!E76+'Fejlesztési kiadások'!E87)*0.6</f>
        <v>17414.4639</v>
      </c>
      <c r="C30" s="215">
        <f t="shared" si="2"/>
        <v>17414.4639</v>
      </c>
      <c r="D30" s="1193"/>
      <c r="E30" s="1112">
        <f t="shared" si="0"/>
        <v>0</v>
      </c>
      <c r="F30" s="410"/>
    </row>
    <row r="31" spans="1:6" ht="31.5" customHeight="1">
      <c r="A31" s="1067" t="s">
        <v>1359</v>
      </c>
      <c r="B31" s="375">
        <f>B32</f>
        <v>4729</v>
      </c>
      <c r="C31" s="215">
        <f t="shared" si="2"/>
        <v>4729</v>
      </c>
      <c r="D31" s="1193"/>
      <c r="E31" s="1112">
        <f t="shared" si="0"/>
        <v>0</v>
      </c>
      <c r="F31" s="410"/>
    </row>
    <row r="32" spans="1:6" ht="31.5" customHeight="1">
      <c r="A32" s="754" t="s">
        <v>1448</v>
      </c>
      <c r="B32" s="215">
        <v>4729</v>
      </c>
      <c r="C32" s="215">
        <f t="shared" si="2"/>
        <v>4729</v>
      </c>
      <c r="D32" s="1193"/>
      <c r="E32" s="1112">
        <f t="shared" si="0"/>
        <v>0</v>
      </c>
      <c r="F32" s="410"/>
    </row>
    <row r="33" spans="1:6" ht="31.5" customHeight="1">
      <c r="A33" s="755" t="s">
        <v>1360</v>
      </c>
      <c r="B33" s="213">
        <f>B34+B43+B46</f>
        <v>660592</v>
      </c>
      <c r="C33" s="213">
        <f>C34+C43+C46</f>
        <v>660592</v>
      </c>
      <c r="D33" s="213">
        <f>D34+D43+D46</f>
        <v>171840.08899999998</v>
      </c>
      <c r="E33" s="1112">
        <f t="shared" si="0"/>
        <v>0.26013044208830866</v>
      </c>
      <c r="F33" s="410"/>
    </row>
    <row r="34" spans="1:6" s="119" customFormat="1" ht="27" customHeight="1">
      <c r="A34" s="1061" t="s">
        <v>1361</v>
      </c>
      <c r="B34" s="375">
        <f>SUM(B35:B40)</f>
        <v>660592</v>
      </c>
      <c r="C34" s="375">
        <f>SUM(C35:C40)</f>
        <v>660592</v>
      </c>
      <c r="D34" s="375">
        <f>SUM(D35:D42)</f>
        <v>171650.849</v>
      </c>
      <c r="E34" s="1112">
        <f t="shared" si="0"/>
        <v>0.2598439717707753</v>
      </c>
      <c r="F34" s="410"/>
    </row>
    <row r="35" spans="1:6" s="119" customFormat="1" ht="30" customHeight="1">
      <c r="A35" s="1070" t="s">
        <v>530</v>
      </c>
      <c r="B35" s="215">
        <f>'Fejlesztési bevételek'!E31</f>
        <v>71229</v>
      </c>
      <c r="C35" s="215">
        <f aca="true" t="shared" si="3" ref="C35:C40">B35</f>
        <v>71229</v>
      </c>
      <c r="D35" s="215">
        <f>66765.215+12890.612</f>
        <v>79655.82699999999</v>
      </c>
      <c r="E35" s="1112">
        <f t="shared" si="0"/>
        <v>1.1183061253141275</v>
      </c>
      <c r="F35" s="410"/>
    </row>
    <row r="36" spans="1:6" s="119" customFormat="1" ht="34.5" customHeight="1">
      <c r="A36" s="308" t="s">
        <v>501</v>
      </c>
      <c r="B36" s="215">
        <f>'Fejlesztési bevételek'!E25</f>
        <v>75524</v>
      </c>
      <c r="C36" s="215">
        <f t="shared" si="3"/>
        <v>75524</v>
      </c>
      <c r="D36" s="215">
        <f>3750.3+2899.365</f>
        <v>6649.665</v>
      </c>
      <c r="E36" s="1112">
        <f t="shared" si="0"/>
        <v>0.08804704464805889</v>
      </c>
      <c r="F36" s="410"/>
    </row>
    <row r="37" spans="1:6" s="118" customFormat="1" ht="34.5" customHeight="1">
      <c r="A37" s="308" t="s">
        <v>502</v>
      </c>
      <c r="B37" s="215">
        <f>'Fejlesztési bevételek'!E28</f>
        <v>491325</v>
      </c>
      <c r="C37" s="215">
        <f t="shared" si="3"/>
        <v>491325</v>
      </c>
      <c r="D37" s="215">
        <f>13778.055+8821.489</f>
        <v>22599.544</v>
      </c>
      <c r="E37" s="1112">
        <f t="shared" si="0"/>
        <v>0.04599713835037908</v>
      </c>
      <c r="F37" s="410"/>
    </row>
    <row r="38" spans="1:6" s="118" customFormat="1" ht="34.5" customHeight="1">
      <c r="A38" s="756" t="s">
        <v>503</v>
      </c>
      <c r="B38" s="215">
        <f>'Fejlesztési bevételek'!E34</f>
        <v>22514</v>
      </c>
      <c r="C38" s="215">
        <f t="shared" si="3"/>
        <v>22514</v>
      </c>
      <c r="D38" s="215"/>
      <c r="E38" s="1112">
        <f t="shared" si="0"/>
        <v>0</v>
      </c>
      <c r="F38" s="410"/>
    </row>
    <row r="39" spans="1:6" s="118" customFormat="1" ht="34.5" customHeight="1">
      <c r="A39" s="751" t="s">
        <v>504</v>
      </c>
      <c r="B39" s="91">
        <v>0</v>
      </c>
      <c r="C39" s="215">
        <f t="shared" si="3"/>
        <v>0</v>
      </c>
      <c r="D39" s="215">
        <v>61885.223</v>
      </c>
      <c r="E39" s="1112">
        <v>0</v>
      </c>
      <c r="F39" s="410"/>
    </row>
    <row r="40" spans="1:6" s="118" customFormat="1" ht="27" customHeight="1">
      <c r="A40" s="751" t="s">
        <v>1565</v>
      </c>
      <c r="B40" s="215">
        <v>0</v>
      </c>
      <c r="C40" s="215">
        <f t="shared" si="3"/>
        <v>0</v>
      </c>
      <c r="D40" s="215"/>
      <c r="E40" s="1112">
        <v>0</v>
      </c>
      <c r="F40" s="410"/>
    </row>
    <row r="41" spans="1:6" s="118" customFormat="1" ht="27" customHeight="1">
      <c r="A41" s="751" t="s">
        <v>1577</v>
      </c>
      <c r="B41" s="215">
        <v>0</v>
      </c>
      <c r="C41" s="215">
        <v>0</v>
      </c>
      <c r="D41" s="215">
        <v>810.59</v>
      </c>
      <c r="E41" s="1112">
        <v>0</v>
      </c>
      <c r="F41" s="410"/>
    </row>
    <row r="42" spans="1:6" s="118" customFormat="1" ht="27" customHeight="1">
      <c r="A42" s="751" t="s">
        <v>1566</v>
      </c>
      <c r="B42" s="215">
        <v>0</v>
      </c>
      <c r="C42" s="215">
        <v>0</v>
      </c>
      <c r="D42" s="215">
        <v>50</v>
      </c>
      <c r="E42" s="1112">
        <v>0</v>
      </c>
      <c r="F42" s="410"/>
    </row>
    <row r="43" spans="1:6" s="118" customFormat="1" ht="27" customHeight="1">
      <c r="A43" s="1061" t="s">
        <v>1362</v>
      </c>
      <c r="B43" s="215">
        <f>SUM(B44:B45)</f>
        <v>0</v>
      </c>
      <c r="C43" s="215">
        <f>SUM(C44:C45)</f>
        <v>0</v>
      </c>
      <c r="D43" s="1068">
        <f>SUM(D44:D45)</f>
        <v>189.24</v>
      </c>
      <c r="E43" s="1112">
        <v>0</v>
      </c>
      <c r="F43" s="410"/>
    </row>
    <row r="44" spans="1:6" s="118" customFormat="1" ht="27" customHeight="1">
      <c r="A44" s="751" t="s">
        <v>1567</v>
      </c>
      <c r="B44" s="215">
        <v>0</v>
      </c>
      <c r="C44" s="215">
        <v>0</v>
      </c>
      <c r="D44" s="215">
        <v>189.24</v>
      </c>
      <c r="E44" s="1112">
        <v>0</v>
      </c>
      <c r="F44" s="410"/>
    </row>
    <row r="45" spans="1:6" s="118" customFormat="1" ht="27" customHeight="1">
      <c r="A45" s="751"/>
      <c r="B45" s="215"/>
      <c r="C45" s="215"/>
      <c r="D45" s="1193"/>
      <c r="E45" s="1112"/>
      <c r="F45" s="410"/>
    </row>
    <row r="46" spans="1:6" s="118" customFormat="1" ht="30.75" customHeight="1">
      <c r="A46" s="1067" t="s">
        <v>668</v>
      </c>
      <c r="B46" s="336"/>
      <c r="C46" s="336"/>
      <c r="D46" s="1193"/>
      <c r="E46" s="1112"/>
      <c r="F46" s="410"/>
    </row>
    <row r="47" spans="1:6" s="118" customFormat="1" ht="30.75" customHeight="1">
      <c r="A47" s="133" t="s">
        <v>1434</v>
      </c>
      <c r="B47" s="1068">
        <f>B48</f>
        <v>9535</v>
      </c>
      <c r="C47" s="1068">
        <f>C48</f>
        <v>9535</v>
      </c>
      <c r="D47" s="1068">
        <f>D48</f>
        <v>0</v>
      </c>
      <c r="E47" s="1112">
        <f t="shared" si="0"/>
        <v>0</v>
      </c>
      <c r="F47" s="410"/>
    </row>
    <row r="48" spans="1:6" s="118" customFormat="1" ht="26.25" customHeight="1">
      <c r="A48" s="756" t="s">
        <v>495</v>
      </c>
      <c r="B48" s="336">
        <f>'Fejlesztési bevételek'!E56</f>
        <v>9535</v>
      </c>
      <c r="C48" s="336">
        <f>B48</f>
        <v>9535</v>
      </c>
      <c r="D48" s="1193"/>
      <c r="E48" s="1112">
        <f t="shared" si="0"/>
        <v>0</v>
      </c>
      <c r="F48" s="410"/>
    </row>
    <row r="49" spans="1:6" ht="27" customHeight="1">
      <c r="A49" s="133" t="s">
        <v>1435</v>
      </c>
      <c r="B49" s="213">
        <v>0</v>
      </c>
      <c r="C49" s="213">
        <v>0</v>
      </c>
      <c r="D49" s="1193">
        <v>0</v>
      </c>
      <c r="E49" s="1112">
        <v>0</v>
      </c>
      <c r="F49" s="410"/>
    </row>
    <row r="50" spans="1:5" ht="27" customHeight="1">
      <c r="A50" s="133" t="s">
        <v>1436</v>
      </c>
      <c r="B50" s="213">
        <f>B51</f>
        <v>7505</v>
      </c>
      <c r="C50" s="213">
        <f>C51</f>
        <v>7505</v>
      </c>
      <c r="D50" s="213">
        <f>D51</f>
        <v>0</v>
      </c>
      <c r="E50" s="1112">
        <f t="shared" si="0"/>
        <v>0</v>
      </c>
    </row>
    <row r="51" spans="1:5" ht="27" customHeight="1">
      <c r="A51" s="756" t="s">
        <v>495</v>
      </c>
      <c r="B51" s="213">
        <f>pénzmaradvány!B7</f>
        <v>7505</v>
      </c>
      <c r="C51" s="213">
        <f>B51</f>
        <v>7505</v>
      </c>
      <c r="D51" s="7">
        <v>0</v>
      </c>
      <c r="E51" s="1112">
        <f t="shared" si="0"/>
        <v>0</v>
      </c>
    </row>
    <row r="52" spans="1:5" ht="27" customHeight="1">
      <c r="A52" s="216" t="s">
        <v>304</v>
      </c>
      <c r="B52" s="217">
        <f>+B8+B22+B33+B49+B50+B47</f>
        <v>832842.4639</v>
      </c>
      <c r="C52" s="217">
        <f>+C8+C22+C33+C49+C50+C47</f>
        <v>839223.4639</v>
      </c>
      <c r="D52" s="217">
        <f>+D8+D22+D33+D49+D50+D47</f>
        <v>174129.955</v>
      </c>
      <c r="E52" s="1112">
        <f t="shared" si="0"/>
        <v>0.20748937856288172</v>
      </c>
    </row>
  </sheetData>
  <sheetProtection/>
  <mergeCells count="4">
    <mergeCell ref="A6:E6"/>
    <mergeCell ref="A4:E4"/>
    <mergeCell ref="C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U119"/>
  <sheetViews>
    <sheetView view="pageBreakPreview" zoomScale="85" zoomScaleSheetLayoutView="85" zoomScalePageLayoutView="0" workbookViewId="0" topLeftCell="A56">
      <selection activeCell="A2" sqref="A2:M3"/>
    </sheetView>
  </sheetViews>
  <sheetFormatPr defaultColWidth="9.140625" defaultRowHeight="27" customHeight="1"/>
  <cols>
    <col min="1" max="1" width="79.00390625" style="91" customWidth="1"/>
    <col min="2" max="2" width="13.28125" style="91" customWidth="1"/>
    <col min="3" max="3" width="12.140625" style="91" customWidth="1"/>
    <col min="4" max="4" width="12.28125" style="91" customWidth="1"/>
    <col min="5" max="5" width="11.28125" style="91" customWidth="1"/>
    <col min="6" max="6" width="13.28125" style="91" customWidth="1"/>
    <col min="7" max="7" width="12.140625" style="91" customWidth="1"/>
    <col min="8" max="8" width="14.00390625" style="91" customWidth="1"/>
    <col min="9" max="10" width="13.140625" style="91" customWidth="1"/>
    <col min="11" max="11" width="11.57421875" style="91" customWidth="1"/>
    <col min="12" max="12" width="12.8515625" style="91" customWidth="1"/>
    <col min="13" max="13" width="11.7109375" style="91" customWidth="1"/>
    <col min="14" max="14" width="13.8515625" style="91" customWidth="1"/>
    <col min="15" max="15" width="11.8515625" style="91" bestFit="1" customWidth="1"/>
    <col min="16" max="16" width="38.57421875" style="91" customWidth="1"/>
    <col min="17" max="17" width="9.28125" style="91" bestFit="1" customWidth="1"/>
    <col min="18" max="16384" width="9.140625" style="91" customWidth="1"/>
  </cols>
  <sheetData>
    <row r="1" spans="12:15" ht="15">
      <c r="L1" s="1387" t="s">
        <v>547</v>
      </c>
      <c r="M1" s="1387"/>
      <c r="N1" s="765"/>
      <c r="O1" s="765"/>
    </row>
    <row r="2" spans="1:13" ht="27" customHeight="1">
      <c r="A2" s="1299"/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</row>
    <row r="3" spans="1:5" ht="27" customHeight="1">
      <c r="A3" s="44"/>
      <c r="B3" s="44"/>
      <c r="C3" s="44"/>
      <c r="D3" s="44"/>
      <c r="E3" s="44"/>
    </row>
    <row r="4" spans="1:13" ht="27" customHeight="1">
      <c r="A4" s="1213" t="s">
        <v>1537</v>
      </c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</row>
    <row r="5" spans="1:13" ht="17.25" customHeight="1">
      <c r="A5" s="660"/>
      <c r="B5" s="661"/>
      <c r="C5" s="661"/>
      <c r="D5" s="661"/>
      <c r="E5" s="661"/>
      <c r="F5" s="661"/>
      <c r="G5" s="1093"/>
      <c r="H5" s="1093"/>
      <c r="I5" s="1093"/>
      <c r="M5" s="290" t="s">
        <v>297</v>
      </c>
    </row>
    <row r="6" spans="1:13" ht="36" customHeight="1">
      <c r="A6" s="131" t="s">
        <v>1026</v>
      </c>
      <c r="B6" s="1293" t="s">
        <v>305</v>
      </c>
      <c r="C6" s="1294"/>
      <c r="D6" s="1294"/>
      <c r="E6" s="1295"/>
      <c r="F6" s="1296" t="s">
        <v>806</v>
      </c>
      <c r="G6" s="1297"/>
      <c r="H6" s="1297"/>
      <c r="I6" s="1298"/>
      <c r="J6" s="1296" t="s">
        <v>306</v>
      </c>
      <c r="K6" s="1297"/>
      <c r="L6" s="1297"/>
      <c r="M6" s="1298"/>
    </row>
    <row r="7" spans="1:13" ht="36" customHeight="1">
      <c r="A7" s="131"/>
      <c r="B7" s="131" t="s">
        <v>1514</v>
      </c>
      <c r="C7" s="131" t="s">
        <v>1515</v>
      </c>
      <c r="D7" s="131" t="s">
        <v>1528</v>
      </c>
      <c r="E7" s="131" t="s">
        <v>1529</v>
      </c>
      <c r="F7" s="132" t="s">
        <v>1514</v>
      </c>
      <c r="G7" s="132" t="s">
        <v>1516</v>
      </c>
      <c r="H7" s="132" t="s">
        <v>1528</v>
      </c>
      <c r="I7" s="132" t="s">
        <v>1529</v>
      </c>
      <c r="J7" s="132" t="s">
        <v>1514</v>
      </c>
      <c r="K7" s="1106" t="s">
        <v>1515</v>
      </c>
      <c r="L7" s="132" t="s">
        <v>1528</v>
      </c>
      <c r="M7" s="132" t="s">
        <v>1529</v>
      </c>
    </row>
    <row r="8" spans="1:13" ht="36" customHeight="1">
      <c r="A8" s="133" t="s">
        <v>1371</v>
      </c>
      <c r="B8" s="134">
        <f aca="true" t="shared" si="0" ref="B8:L8">+B9+B15</f>
        <v>42118</v>
      </c>
      <c r="C8" s="134">
        <f t="shared" si="0"/>
        <v>45420</v>
      </c>
      <c r="D8" s="134">
        <f t="shared" si="0"/>
        <v>68431.138</v>
      </c>
      <c r="E8" s="1133">
        <f>D8/C8</f>
        <v>1.5066300748568913</v>
      </c>
      <c r="F8" s="134">
        <f t="shared" si="0"/>
        <v>711218</v>
      </c>
      <c r="G8" s="134">
        <f t="shared" si="0"/>
        <v>711218</v>
      </c>
      <c r="H8" s="134">
        <f t="shared" si="0"/>
        <v>124757.617</v>
      </c>
      <c r="I8" s="1133">
        <f aca="true" t="shared" si="1" ref="I8:I13">H8/G8</f>
        <v>0.17541403198456731</v>
      </c>
      <c r="J8" s="134">
        <f t="shared" si="0"/>
        <v>753336</v>
      </c>
      <c r="K8" s="1134">
        <f t="shared" si="0"/>
        <v>756638</v>
      </c>
      <c r="L8" s="1134">
        <f t="shared" si="0"/>
        <v>187326.286</v>
      </c>
      <c r="M8" s="1133">
        <f>L8/K8</f>
        <v>0.24757715842979072</v>
      </c>
    </row>
    <row r="9" spans="1:13" ht="27" customHeight="1">
      <c r="A9" s="750" t="s">
        <v>1372</v>
      </c>
      <c r="B9" s="338">
        <f aca="true" t="shared" si="2" ref="B9:L9">SUM(B10:B14)</f>
        <v>42118</v>
      </c>
      <c r="C9" s="338">
        <f t="shared" si="2"/>
        <v>42118</v>
      </c>
      <c r="D9" s="338">
        <f t="shared" si="2"/>
        <v>67502.76800000001</v>
      </c>
      <c r="E9" s="1133">
        <f aca="true" t="shared" si="3" ref="E9:E68">D9/C9</f>
        <v>1.602705921458759</v>
      </c>
      <c r="F9" s="338">
        <f t="shared" si="2"/>
        <v>706218</v>
      </c>
      <c r="G9" s="338">
        <f t="shared" si="2"/>
        <v>706218</v>
      </c>
      <c r="H9" s="338">
        <f t="shared" si="2"/>
        <v>121602.618</v>
      </c>
      <c r="I9" s="1133">
        <f t="shared" si="1"/>
        <v>0.1721884998683126</v>
      </c>
      <c r="J9" s="338">
        <f t="shared" si="2"/>
        <v>748336</v>
      </c>
      <c r="K9" s="1135">
        <f t="shared" si="2"/>
        <v>748336</v>
      </c>
      <c r="L9" s="1135">
        <f t="shared" si="2"/>
        <v>183242.917</v>
      </c>
      <c r="M9" s="1133">
        <f aca="true" t="shared" si="4" ref="M9:M68">L9/K9</f>
        <v>0.2448671679566398</v>
      </c>
    </row>
    <row r="10" spans="1:13" ht="27" customHeight="1">
      <c r="A10" s="757" t="s">
        <v>530</v>
      </c>
      <c r="B10" s="370">
        <f>J10-F10</f>
        <v>10780</v>
      </c>
      <c r="C10" s="370">
        <f>K10-G10</f>
        <v>10780</v>
      </c>
      <c r="D10" s="370">
        <f>L10-H10</f>
        <v>27838.88100000001</v>
      </c>
      <c r="E10" s="1133">
        <f t="shared" si="3"/>
        <v>2.5824564935064944</v>
      </c>
      <c r="F10" s="370">
        <f>71229+18334+1797</f>
        <v>91360</v>
      </c>
      <c r="G10" s="370">
        <f>71229+18334+1797</f>
        <v>91360</v>
      </c>
      <c r="H10" s="370">
        <f>4am!D35+4am!D25</f>
        <v>79655.82699999999</v>
      </c>
      <c r="I10" s="1133">
        <f t="shared" si="1"/>
        <v>0.8718895249562171</v>
      </c>
      <c r="J10" s="370">
        <f>'Fejlesztési kiadások'!E32+'Fejlesztési kiadások'!E33</f>
        <v>102140</v>
      </c>
      <c r="K10" s="1136">
        <f>J10</f>
        <v>102140</v>
      </c>
      <c r="L10" s="370">
        <f>79981.765+12724.649+14788.294</f>
        <v>107494.708</v>
      </c>
      <c r="M10" s="1133">
        <f t="shared" si="4"/>
        <v>1.0524251811239476</v>
      </c>
    </row>
    <row r="11" spans="1:13" ht="27" customHeight="1">
      <c r="A11" s="757" t="s">
        <v>1439</v>
      </c>
      <c r="B11" s="370">
        <v>0</v>
      </c>
      <c r="C11" s="370">
        <v>0</v>
      </c>
      <c r="D11" s="370">
        <v>0</v>
      </c>
      <c r="E11" s="1133">
        <v>0</v>
      </c>
      <c r="F11" s="370">
        <v>77233</v>
      </c>
      <c r="G11" s="370">
        <v>77233</v>
      </c>
      <c r="H11" s="370">
        <f>4am!D36+4am!D26</f>
        <v>6706.384</v>
      </c>
      <c r="I11" s="1133">
        <f t="shared" si="1"/>
        <v>0.08683314127380783</v>
      </c>
      <c r="J11" s="370">
        <f>'Fejlesztési kiadások'!E35+'Fejlesztési kiadások'!E36</f>
        <v>77233</v>
      </c>
      <c r="K11" s="1136">
        <f>J11</f>
        <v>77233</v>
      </c>
      <c r="L11" s="370">
        <f>664.5+179.415</f>
        <v>843.915</v>
      </c>
      <c r="M11" s="1133">
        <f t="shared" si="4"/>
        <v>0.010926870638198697</v>
      </c>
    </row>
    <row r="12" spans="1:13" ht="27" customHeight="1">
      <c r="A12" s="757" t="s">
        <v>1438</v>
      </c>
      <c r="B12" s="370">
        <f>J12-F12</f>
        <v>21803</v>
      </c>
      <c r="C12" s="370">
        <f>K12-G12</f>
        <v>21803</v>
      </c>
      <c r="D12" s="370">
        <f>L12-H12</f>
        <v>36713.56</v>
      </c>
      <c r="E12" s="1133">
        <f t="shared" si="3"/>
        <v>1.6838765307526486</v>
      </c>
      <c r="F12" s="370">
        <f>491325+10984</f>
        <v>502309</v>
      </c>
      <c r="G12" s="370">
        <f>491325+10984</f>
        <v>502309</v>
      </c>
      <c r="H12" s="370">
        <f>4am!D37+4am!D27</f>
        <v>22599.544</v>
      </c>
      <c r="I12" s="1133">
        <f t="shared" si="1"/>
        <v>0.044991318093046316</v>
      </c>
      <c r="J12" s="370">
        <f>'Fejlesztési kiadások'!E38+'Fejlesztési kiadások'!E39</f>
        <v>524112</v>
      </c>
      <c r="K12" s="1136">
        <f>J12</f>
        <v>524112</v>
      </c>
      <c r="L12" s="370">
        <f>30339.005+26555.316+2418.783</f>
        <v>59313.104</v>
      </c>
      <c r="M12" s="1133">
        <f t="shared" si="4"/>
        <v>0.11316875782275544</v>
      </c>
    </row>
    <row r="13" spans="1:13" ht="27" customHeight="1">
      <c r="A13" s="757" t="s">
        <v>1443</v>
      </c>
      <c r="B13" s="370">
        <v>9535</v>
      </c>
      <c r="C13" s="370">
        <v>9535</v>
      </c>
      <c r="D13" s="370">
        <f>4am!D28+4am!D38</f>
        <v>1700.327</v>
      </c>
      <c r="E13" s="1133">
        <f t="shared" si="3"/>
        <v>0.17832480335605663</v>
      </c>
      <c r="F13" s="370">
        <f>J13-B13</f>
        <v>35316</v>
      </c>
      <c r="G13" s="370">
        <f>K13-C13</f>
        <v>35316</v>
      </c>
      <c r="H13" s="370">
        <f>L13-D13</f>
        <v>12640.863000000001</v>
      </c>
      <c r="I13" s="1133">
        <f t="shared" si="1"/>
        <v>0.3579358647638464</v>
      </c>
      <c r="J13" s="370">
        <f>'Fejlesztési kiadások'!E41+'Fejlesztési kiadások'!E42</f>
        <v>44851</v>
      </c>
      <c r="K13" s="1136">
        <f>J13</f>
        <v>44851</v>
      </c>
      <c r="L13" s="370">
        <f>11695.19+2646</f>
        <v>14341.19</v>
      </c>
      <c r="M13" s="1133">
        <f t="shared" si="4"/>
        <v>0.3197518449978819</v>
      </c>
    </row>
    <row r="14" spans="1:13" ht="27" customHeight="1">
      <c r="A14" s="757" t="s">
        <v>1575</v>
      </c>
      <c r="B14" s="370">
        <v>0</v>
      </c>
      <c r="C14" s="370">
        <v>0</v>
      </c>
      <c r="D14" s="370">
        <f>L14</f>
        <v>1250</v>
      </c>
      <c r="E14" s="1133">
        <v>0</v>
      </c>
      <c r="F14" s="370">
        <v>0</v>
      </c>
      <c r="G14" s="370">
        <v>0</v>
      </c>
      <c r="H14" s="370">
        <v>0</v>
      </c>
      <c r="I14" s="1133">
        <v>0</v>
      </c>
      <c r="J14" s="370">
        <v>0</v>
      </c>
      <c r="K14" s="1136">
        <v>0</v>
      </c>
      <c r="L14" s="370">
        <f>1000+250</f>
        <v>1250</v>
      </c>
      <c r="M14" s="1133">
        <v>0</v>
      </c>
    </row>
    <row r="15" spans="1:13" s="97" customFormat="1" ht="27" customHeight="1">
      <c r="A15" s="750" t="s">
        <v>1373</v>
      </c>
      <c r="B15" s="879">
        <f aca="true" t="shared" si="5" ref="B15:L15">+B16+B17+B18+B24</f>
        <v>0</v>
      </c>
      <c r="C15" s="879">
        <f t="shared" si="5"/>
        <v>3302</v>
      </c>
      <c r="D15" s="879">
        <f t="shared" si="5"/>
        <v>928.37</v>
      </c>
      <c r="E15" s="1133">
        <f t="shared" si="3"/>
        <v>0.28115384615384614</v>
      </c>
      <c r="F15" s="879">
        <f t="shared" si="5"/>
        <v>5000</v>
      </c>
      <c r="G15" s="879">
        <f t="shared" si="5"/>
        <v>5000</v>
      </c>
      <c r="H15" s="879">
        <f t="shared" si="5"/>
        <v>3154.999</v>
      </c>
      <c r="I15" s="1133">
        <f>H15/G15</f>
        <v>0.6309998</v>
      </c>
      <c r="J15" s="879">
        <f t="shared" si="5"/>
        <v>5000</v>
      </c>
      <c r="K15" s="1137">
        <f t="shared" si="5"/>
        <v>8302</v>
      </c>
      <c r="L15" s="1137">
        <f t="shared" si="5"/>
        <v>4083.3689999999997</v>
      </c>
      <c r="M15" s="1133">
        <f t="shared" si="4"/>
        <v>0.4918536497229583</v>
      </c>
    </row>
    <row r="16" spans="1:17" s="30" customFormat="1" ht="27" customHeight="1">
      <c r="A16" s="615" t="s">
        <v>1376</v>
      </c>
      <c r="B16" s="370">
        <v>0</v>
      </c>
      <c r="C16" s="370">
        <v>0</v>
      </c>
      <c r="D16" s="370"/>
      <c r="E16" s="1133">
        <v>0</v>
      </c>
      <c r="F16" s="370">
        <v>0</v>
      </c>
      <c r="G16" s="370">
        <v>0</v>
      </c>
      <c r="H16" s="370"/>
      <c r="I16" s="1133"/>
      <c r="J16" s="370">
        <v>0</v>
      </c>
      <c r="K16" s="1136">
        <v>0</v>
      </c>
      <c r="L16" s="370"/>
      <c r="M16" s="1133"/>
      <c r="Q16" s="292"/>
    </row>
    <row r="17" spans="1:13" ht="27" customHeight="1">
      <c r="A17" s="615" t="s">
        <v>1375</v>
      </c>
      <c r="B17" s="370">
        <v>0</v>
      </c>
      <c r="C17" s="370">
        <v>0</v>
      </c>
      <c r="D17" s="370"/>
      <c r="E17" s="1133">
        <v>0</v>
      </c>
      <c r="F17" s="370">
        <v>0</v>
      </c>
      <c r="G17" s="370">
        <v>0</v>
      </c>
      <c r="H17" s="370"/>
      <c r="I17" s="1133"/>
      <c r="J17" s="370">
        <v>0</v>
      </c>
      <c r="K17" s="1136">
        <v>0</v>
      </c>
      <c r="L17" s="370"/>
      <c r="M17" s="1133"/>
    </row>
    <row r="18" spans="1:13" ht="27" customHeight="1">
      <c r="A18" s="615" t="s">
        <v>1374</v>
      </c>
      <c r="B18" s="370">
        <f>B19+B20+B21+B22</f>
        <v>0</v>
      </c>
      <c r="C18" s="370">
        <f>C19+C20+C21+C22</f>
        <v>0</v>
      </c>
      <c r="D18" s="370">
        <f>D19+D20+D21+D22</f>
        <v>190.5</v>
      </c>
      <c r="E18" s="1133">
        <v>0</v>
      </c>
      <c r="F18" s="370">
        <f>F19+F20</f>
        <v>2249</v>
      </c>
      <c r="G18" s="370">
        <f>G19+G20</f>
        <v>2249</v>
      </c>
      <c r="H18" s="370">
        <f>SUM(H19:H23)</f>
        <v>3154.999</v>
      </c>
      <c r="I18" s="1133">
        <f>H18/G18</f>
        <v>1.4028452645620275</v>
      </c>
      <c r="J18" s="370">
        <f>J19+J20+J21+J22</f>
        <v>2249</v>
      </c>
      <c r="K18" s="370">
        <f>K19+K20+K21+K22</f>
        <v>2249</v>
      </c>
      <c r="L18" s="370">
        <f>L19+L20+L21+L22+L23</f>
        <v>3345.499</v>
      </c>
      <c r="M18" s="1133">
        <f t="shared" si="4"/>
        <v>1.48754957759004</v>
      </c>
    </row>
    <row r="19" spans="1:13" ht="27" customHeight="1">
      <c r="A19" s="615" t="s">
        <v>1440</v>
      </c>
      <c r="B19" s="370">
        <f>J19-F19</f>
        <v>0</v>
      </c>
      <c r="C19" s="370">
        <v>0</v>
      </c>
      <c r="D19" s="370">
        <v>0</v>
      </c>
      <c r="E19" s="1133">
        <v>0</v>
      </c>
      <c r="F19" s="370">
        <f>J19</f>
        <v>271</v>
      </c>
      <c r="G19" s="370">
        <f>K19</f>
        <v>271</v>
      </c>
      <c r="H19" s="370"/>
      <c r="I19" s="1133">
        <f>H19/G19</f>
        <v>0</v>
      </c>
      <c r="J19" s="370">
        <v>271</v>
      </c>
      <c r="K19" s="1136">
        <f>J19</f>
        <v>271</v>
      </c>
      <c r="L19" s="370"/>
      <c r="M19" s="1133">
        <f t="shared" si="4"/>
        <v>0</v>
      </c>
    </row>
    <row r="20" spans="1:13" ht="27" customHeight="1">
      <c r="A20" s="615" t="s">
        <v>1441</v>
      </c>
      <c r="B20" s="370">
        <f>J20-F20</f>
        <v>0</v>
      </c>
      <c r="C20" s="370">
        <v>0</v>
      </c>
      <c r="D20" s="370">
        <v>0</v>
      </c>
      <c r="E20" s="1133">
        <v>0</v>
      </c>
      <c r="F20" s="370">
        <f>J20</f>
        <v>1978</v>
      </c>
      <c r="G20" s="370">
        <f>K20</f>
        <v>1978</v>
      </c>
      <c r="H20" s="370"/>
      <c r="I20" s="1133">
        <f>H20/G20</f>
        <v>0</v>
      </c>
      <c r="J20" s="370">
        <v>1978</v>
      </c>
      <c r="K20" s="1136">
        <v>1978</v>
      </c>
      <c r="L20" s="370"/>
      <c r="M20" s="1133">
        <f t="shared" si="4"/>
        <v>0</v>
      </c>
    </row>
    <row r="21" spans="1:13" ht="27" customHeight="1">
      <c r="A21" s="615" t="s">
        <v>1576</v>
      </c>
      <c r="B21" s="370">
        <v>0</v>
      </c>
      <c r="C21" s="370">
        <v>0</v>
      </c>
      <c r="D21" s="370">
        <v>0</v>
      </c>
      <c r="E21" s="1133">
        <v>0</v>
      </c>
      <c r="F21" s="370">
        <v>0</v>
      </c>
      <c r="G21" s="370">
        <v>0</v>
      </c>
      <c r="H21" s="370">
        <f>L21</f>
        <v>1259.999</v>
      </c>
      <c r="I21" s="1133">
        <v>0</v>
      </c>
      <c r="J21" s="370">
        <v>0</v>
      </c>
      <c r="K21" s="1136">
        <v>0</v>
      </c>
      <c r="L21" s="1136">
        <f>992.125+267.874</f>
        <v>1259.999</v>
      </c>
      <c r="M21" s="1133">
        <v>0</v>
      </c>
    </row>
    <row r="22" spans="1:13" ht="27" customHeight="1">
      <c r="A22" s="615" t="s">
        <v>1579</v>
      </c>
      <c r="B22" s="370">
        <v>0</v>
      </c>
      <c r="C22" s="370">
        <v>0</v>
      </c>
      <c r="D22" s="370">
        <v>190.5</v>
      </c>
      <c r="E22" s="1133">
        <v>0</v>
      </c>
      <c r="F22" s="370">
        <v>0</v>
      </c>
      <c r="G22" s="370">
        <v>0</v>
      </c>
      <c r="H22" s="370">
        <v>0</v>
      </c>
      <c r="I22" s="1133">
        <v>0</v>
      </c>
      <c r="J22" s="370">
        <v>0</v>
      </c>
      <c r="K22" s="1136">
        <v>0</v>
      </c>
      <c r="L22" s="1136">
        <v>190.5</v>
      </c>
      <c r="M22" s="1133">
        <v>0</v>
      </c>
    </row>
    <row r="23" spans="1:13" ht="27" customHeight="1">
      <c r="A23" s="615" t="s">
        <v>1581</v>
      </c>
      <c r="B23" s="370">
        <v>0</v>
      </c>
      <c r="C23" s="370">
        <v>0</v>
      </c>
      <c r="D23" s="370">
        <v>0</v>
      </c>
      <c r="E23" s="1133">
        <v>0</v>
      </c>
      <c r="F23" s="370">
        <v>0</v>
      </c>
      <c r="G23" s="370">
        <v>0</v>
      </c>
      <c r="H23" s="370">
        <v>1895</v>
      </c>
      <c r="I23" s="1133">
        <v>0</v>
      </c>
      <c r="J23" s="370">
        <v>0</v>
      </c>
      <c r="K23" s="1136">
        <v>0</v>
      </c>
      <c r="L23" s="1136">
        <v>1895</v>
      </c>
      <c r="M23" s="1133">
        <v>0</v>
      </c>
    </row>
    <row r="24" spans="1:13" ht="27" customHeight="1">
      <c r="A24" s="615" t="s">
        <v>1377</v>
      </c>
      <c r="B24" s="370">
        <f>B25</f>
        <v>0</v>
      </c>
      <c r="C24" s="370">
        <f>SUM(C25:C26)</f>
        <v>3302</v>
      </c>
      <c r="D24" s="370">
        <f>SUM(D25:D28)</f>
        <v>737.87</v>
      </c>
      <c r="E24" s="1133">
        <f t="shared" si="3"/>
        <v>0.22346153846153846</v>
      </c>
      <c r="F24" s="370">
        <f>F25</f>
        <v>2751</v>
      </c>
      <c r="G24" s="370">
        <f>G25</f>
        <v>2751</v>
      </c>
      <c r="H24" s="370">
        <v>0</v>
      </c>
      <c r="I24" s="1133">
        <f>H24/G24</f>
        <v>0</v>
      </c>
      <c r="J24" s="370">
        <f>J25</f>
        <v>2751</v>
      </c>
      <c r="K24" s="1136">
        <f>K25+K26</f>
        <v>6053</v>
      </c>
      <c r="L24" s="1136">
        <f>L25+L26+L27+L28</f>
        <v>737.87</v>
      </c>
      <c r="M24" s="1133">
        <f t="shared" si="4"/>
        <v>0.12190153642821741</v>
      </c>
    </row>
    <row r="25" spans="1:13" ht="27" customHeight="1">
      <c r="A25" s="615" t="s">
        <v>1442</v>
      </c>
      <c r="B25" s="370">
        <f>J25-F25</f>
        <v>0</v>
      </c>
      <c r="C25" s="370">
        <v>0</v>
      </c>
      <c r="D25" s="370"/>
      <c r="E25" s="1133"/>
      <c r="F25" s="370">
        <f>J25</f>
        <v>2751</v>
      </c>
      <c r="G25" s="370">
        <f>K25</f>
        <v>2751</v>
      </c>
      <c r="H25" s="370">
        <v>0</v>
      </c>
      <c r="I25" s="1133">
        <f>H25/G25</f>
        <v>0</v>
      </c>
      <c r="J25" s="370">
        <v>2751</v>
      </c>
      <c r="K25" s="1136">
        <v>2751</v>
      </c>
      <c r="L25" s="370"/>
      <c r="M25" s="1133">
        <f t="shared" si="4"/>
        <v>0</v>
      </c>
    </row>
    <row r="26" spans="1:13" ht="27" customHeight="1">
      <c r="A26" s="615" t="s">
        <v>1523</v>
      </c>
      <c r="B26" s="370">
        <v>0</v>
      </c>
      <c r="C26" s="370">
        <v>3302</v>
      </c>
      <c r="D26" s="370"/>
      <c r="E26" s="1133">
        <f t="shared" si="3"/>
        <v>0</v>
      </c>
      <c r="F26" s="370">
        <v>0</v>
      </c>
      <c r="G26" s="370">
        <v>0</v>
      </c>
      <c r="H26" s="370">
        <v>0</v>
      </c>
      <c r="I26" s="1133">
        <v>0</v>
      </c>
      <c r="J26" s="370">
        <v>0</v>
      </c>
      <c r="K26" s="1136">
        <v>3302</v>
      </c>
      <c r="L26" s="370"/>
      <c r="M26" s="1133">
        <f t="shared" si="4"/>
        <v>0</v>
      </c>
    </row>
    <row r="27" spans="1:13" ht="27" customHeight="1">
      <c r="A27" s="615" t="s">
        <v>1574</v>
      </c>
      <c r="B27" s="370">
        <v>0</v>
      </c>
      <c r="C27" s="370">
        <v>0</v>
      </c>
      <c r="D27" s="370">
        <f>L27</f>
        <v>698.5</v>
      </c>
      <c r="E27" s="1133">
        <v>0</v>
      </c>
      <c r="F27" s="370">
        <v>0</v>
      </c>
      <c r="G27" s="370">
        <v>0</v>
      </c>
      <c r="H27" s="370">
        <v>0</v>
      </c>
      <c r="I27" s="1133">
        <v>0</v>
      </c>
      <c r="J27" s="370">
        <v>0</v>
      </c>
      <c r="K27" s="1136">
        <v>0</v>
      </c>
      <c r="L27" s="1136">
        <f>550+148.5</f>
        <v>698.5</v>
      </c>
      <c r="M27" s="1133">
        <v>0</v>
      </c>
    </row>
    <row r="28" spans="1:13" ht="27" customHeight="1">
      <c r="A28" s="615" t="s">
        <v>1580</v>
      </c>
      <c r="B28" s="370">
        <v>0</v>
      </c>
      <c r="C28" s="370">
        <v>0</v>
      </c>
      <c r="D28" s="370">
        <v>39.37</v>
      </c>
      <c r="E28" s="1133">
        <v>0</v>
      </c>
      <c r="F28" s="370">
        <v>0</v>
      </c>
      <c r="G28" s="370">
        <v>0</v>
      </c>
      <c r="H28" s="370">
        <v>0</v>
      </c>
      <c r="I28" s="1133">
        <v>0</v>
      </c>
      <c r="J28" s="370">
        <v>0</v>
      </c>
      <c r="K28" s="1136">
        <v>0</v>
      </c>
      <c r="L28" s="1136">
        <v>39.37</v>
      </c>
      <c r="M28" s="1133">
        <v>0</v>
      </c>
    </row>
    <row r="29" spans="1:13" ht="36" customHeight="1">
      <c r="A29" s="133" t="s">
        <v>1378</v>
      </c>
      <c r="B29" s="340">
        <f aca="true" t="shared" si="6" ref="B29:L29">+B30+B31</f>
        <v>5080</v>
      </c>
      <c r="C29" s="340">
        <f t="shared" si="6"/>
        <v>7121</v>
      </c>
      <c r="D29" s="340">
        <f t="shared" si="6"/>
        <v>0</v>
      </c>
      <c r="E29" s="1133">
        <f t="shared" si="3"/>
        <v>0</v>
      </c>
      <c r="F29" s="880">
        <f t="shared" si="6"/>
        <v>0</v>
      </c>
      <c r="G29" s="880">
        <f t="shared" si="6"/>
        <v>0</v>
      </c>
      <c r="H29" s="880"/>
      <c r="I29" s="1133"/>
      <c r="J29" s="880">
        <f t="shared" si="6"/>
        <v>5080</v>
      </c>
      <c r="K29" s="1138">
        <f t="shared" si="6"/>
        <v>7121</v>
      </c>
      <c r="L29" s="1138">
        <f t="shared" si="6"/>
        <v>0</v>
      </c>
      <c r="M29" s="1133">
        <f t="shared" si="4"/>
        <v>0</v>
      </c>
    </row>
    <row r="30" spans="1:13" ht="27" customHeight="1">
      <c r="A30" s="750" t="s">
        <v>1379</v>
      </c>
      <c r="B30" s="879">
        <v>0</v>
      </c>
      <c r="C30" s="879">
        <v>0</v>
      </c>
      <c r="D30" s="879"/>
      <c r="E30" s="1133"/>
      <c r="F30" s="879">
        <v>0</v>
      </c>
      <c r="G30" s="879">
        <v>0</v>
      </c>
      <c r="H30" s="879"/>
      <c r="I30" s="1133"/>
      <c r="J30" s="879">
        <v>0</v>
      </c>
      <c r="K30" s="1137">
        <v>0</v>
      </c>
      <c r="L30" s="879"/>
      <c r="M30" s="1133"/>
    </row>
    <row r="31" spans="1:13" ht="27" customHeight="1">
      <c r="A31" s="750" t="s">
        <v>1380</v>
      </c>
      <c r="B31" s="879">
        <f aca="true" t="shared" si="7" ref="B31:L31">SUM(B32:B33)</f>
        <v>5080</v>
      </c>
      <c r="C31" s="879">
        <f t="shared" si="7"/>
        <v>7121</v>
      </c>
      <c r="D31" s="879">
        <f t="shared" si="7"/>
        <v>0</v>
      </c>
      <c r="E31" s="1133">
        <f t="shared" si="3"/>
        <v>0</v>
      </c>
      <c r="F31" s="879">
        <f t="shared" si="7"/>
        <v>0</v>
      </c>
      <c r="G31" s="879">
        <f t="shared" si="7"/>
        <v>0</v>
      </c>
      <c r="H31" s="879">
        <f t="shared" si="7"/>
        <v>0</v>
      </c>
      <c r="I31" s="1133"/>
      <c r="J31" s="879">
        <f t="shared" si="7"/>
        <v>5080</v>
      </c>
      <c r="K31" s="1137">
        <f t="shared" si="7"/>
        <v>7121</v>
      </c>
      <c r="L31" s="1137">
        <f t="shared" si="7"/>
        <v>0</v>
      </c>
      <c r="M31" s="1133">
        <f t="shared" si="4"/>
        <v>0</v>
      </c>
    </row>
    <row r="32" spans="1:13" ht="27" customHeight="1">
      <c r="A32" s="615" t="s">
        <v>1205</v>
      </c>
      <c r="B32" s="370">
        <v>5080</v>
      </c>
      <c r="C32" s="370">
        <v>5080</v>
      </c>
      <c r="D32" s="370"/>
      <c r="E32" s="1133">
        <f t="shared" si="3"/>
        <v>0</v>
      </c>
      <c r="F32" s="370"/>
      <c r="G32" s="370"/>
      <c r="H32" s="370"/>
      <c r="I32" s="1133"/>
      <c r="J32" s="370">
        <f>'Fejlesztési kiadások'!E25+'Fejlesztési kiadások'!E26</f>
        <v>5080</v>
      </c>
      <c r="K32" s="1136">
        <f>J32</f>
        <v>5080</v>
      </c>
      <c r="L32" s="370"/>
      <c r="M32" s="1133">
        <f t="shared" si="4"/>
        <v>0</v>
      </c>
    </row>
    <row r="33" spans="1:13" ht="27" customHeight="1">
      <c r="A33" s="615" t="s">
        <v>1524</v>
      </c>
      <c r="B33" s="370">
        <v>0</v>
      </c>
      <c r="C33" s="370">
        <v>2041</v>
      </c>
      <c r="D33" s="370"/>
      <c r="E33" s="1133">
        <f t="shared" si="3"/>
        <v>0</v>
      </c>
      <c r="F33" s="370">
        <v>0</v>
      </c>
      <c r="G33" s="370">
        <v>0</v>
      </c>
      <c r="H33" s="370"/>
      <c r="I33" s="1133"/>
      <c r="J33" s="370">
        <v>0</v>
      </c>
      <c r="K33" s="1136">
        <v>2041</v>
      </c>
      <c r="L33" s="370"/>
      <c r="M33" s="1133">
        <f t="shared" si="4"/>
        <v>0</v>
      </c>
    </row>
    <row r="34" spans="1:13" s="30" customFormat="1" ht="27" customHeight="1">
      <c r="A34" s="133" t="s">
        <v>1381</v>
      </c>
      <c r="B34" s="340">
        <f aca="true" t="shared" si="8" ref="B34:L34">+B35+B38+B42+B43+B45+B47+B49+B50</f>
        <v>27048.714267716536</v>
      </c>
      <c r="C34" s="340">
        <f t="shared" si="8"/>
        <v>28086.714267716536</v>
      </c>
      <c r="D34" s="340">
        <f t="shared" si="8"/>
        <v>641.544</v>
      </c>
      <c r="E34" s="1133">
        <f t="shared" si="3"/>
        <v>0.022841546856814228</v>
      </c>
      <c r="F34" s="340">
        <f t="shared" si="8"/>
        <v>18153</v>
      </c>
      <c r="G34" s="340">
        <f t="shared" si="8"/>
        <v>18153</v>
      </c>
      <c r="H34" s="340">
        <f t="shared" si="8"/>
        <v>810.59</v>
      </c>
      <c r="I34" s="1133">
        <f>H34/G34</f>
        <v>0.04465322536219909</v>
      </c>
      <c r="J34" s="340">
        <f t="shared" si="8"/>
        <v>45201.71426771654</v>
      </c>
      <c r="K34" s="1139">
        <f t="shared" si="8"/>
        <v>46239.71426771654</v>
      </c>
      <c r="L34" s="1139">
        <f t="shared" si="8"/>
        <v>1452.134</v>
      </c>
      <c r="M34" s="1133">
        <f t="shared" si="4"/>
        <v>0.03140447606558514</v>
      </c>
    </row>
    <row r="35" spans="1:13" s="30" customFormat="1" ht="27" customHeight="1">
      <c r="A35" s="750" t="s">
        <v>1382</v>
      </c>
      <c r="B35" s="338">
        <f>B36+B37</f>
        <v>0</v>
      </c>
      <c r="C35" s="338">
        <f>C36+C37</f>
        <v>750</v>
      </c>
      <c r="D35" s="338">
        <f>D36+D37</f>
        <v>0</v>
      </c>
      <c r="E35" s="1133">
        <f t="shared" si="3"/>
        <v>0</v>
      </c>
      <c r="F35" s="338">
        <v>0</v>
      </c>
      <c r="G35" s="338">
        <v>0</v>
      </c>
      <c r="H35" s="338">
        <f>H36+H37</f>
        <v>810.59</v>
      </c>
      <c r="I35" s="1133"/>
      <c r="J35" s="338">
        <v>0</v>
      </c>
      <c r="K35" s="1135">
        <f>K36</f>
        <v>750</v>
      </c>
      <c r="L35" s="338">
        <f>L36+L37</f>
        <v>810.59</v>
      </c>
      <c r="M35" s="1133">
        <f t="shared" si="4"/>
        <v>1.0807866666666668</v>
      </c>
    </row>
    <row r="36" spans="1:13" s="30" customFormat="1" ht="27" customHeight="1">
      <c r="A36" s="750" t="s">
        <v>1522</v>
      </c>
      <c r="B36" s="338">
        <v>0</v>
      </c>
      <c r="C36" s="338">
        <v>750</v>
      </c>
      <c r="D36" s="338">
        <v>0</v>
      </c>
      <c r="E36" s="1133">
        <f t="shared" si="3"/>
        <v>0</v>
      </c>
      <c r="F36" s="338">
        <v>0</v>
      </c>
      <c r="G36" s="338">
        <v>0</v>
      </c>
      <c r="H36" s="338"/>
      <c r="I36" s="1133"/>
      <c r="J36" s="338">
        <v>0</v>
      </c>
      <c r="K36" s="1135">
        <v>750</v>
      </c>
      <c r="L36" s="338">
        <v>0</v>
      </c>
      <c r="M36" s="1133">
        <f t="shared" si="4"/>
        <v>0</v>
      </c>
    </row>
    <row r="37" spans="1:13" s="30" customFormat="1" ht="27" customHeight="1">
      <c r="A37" s="750" t="s">
        <v>1578</v>
      </c>
      <c r="B37" s="338">
        <v>0</v>
      </c>
      <c r="C37" s="338">
        <v>0</v>
      </c>
      <c r="D37" s="338">
        <v>0</v>
      </c>
      <c r="E37" s="1133">
        <v>0</v>
      </c>
      <c r="F37" s="338">
        <v>0</v>
      </c>
      <c r="G37" s="338">
        <v>0</v>
      </c>
      <c r="H37" s="338">
        <v>810.59</v>
      </c>
      <c r="I37" s="1133">
        <v>0</v>
      </c>
      <c r="J37" s="338">
        <v>0</v>
      </c>
      <c r="K37" s="1135">
        <v>0</v>
      </c>
      <c r="L37" s="1135">
        <v>810.59</v>
      </c>
      <c r="M37" s="1133">
        <v>0</v>
      </c>
    </row>
    <row r="38" spans="1:13" ht="36.75" customHeight="1">
      <c r="A38" s="758" t="s">
        <v>1383</v>
      </c>
      <c r="B38" s="879">
        <f aca="true" t="shared" si="9" ref="B38:L38">SUM(B39:B41)</f>
        <v>1582</v>
      </c>
      <c r="C38" s="879">
        <f t="shared" si="9"/>
        <v>1870</v>
      </c>
      <c r="D38" s="879">
        <f t="shared" si="9"/>
        <v>641.544</v>
      </c>
      <c r="E38" s="1133">
        <f t="shared" si="3"/>
        <v>0.34307165775401066</v>
      </c>
      <c r="F38" s="879">
        <f t="shared" si="9"/>
        <v>0</v>
      </c>
      <c r="G38" s="879">
        <f t="shared" si="9"/>
        <v>0</v>
      </c>
      <c r="H38" s="879">
        <f t="shared" si="9"/>
        <v>0</v>
      </c>
      <c r="I38" s="1133"/>
      <c r="J38" s="879">
        <f t="shared" si="9"/>
        <v>1582</v>
      </c>
      <c r="K38" s="1137">
        <f t="shared" si="9"/>
        <v>1870</v>
      </c>
      <c r="L38" s="1137">
        <f t="shared" si="9"/>
        <v>641.544</v>
      </c>
      <c r="M38" s="1133">
        <f t="shared" si="4"/>
        <v>0.34307165775401066</v>
      </c>
    </row>
    <row r="39" spans="1:13" ht="27" customHeight="1">
      <c r="A39" s="615" t="s">
        <v>1206</v>
      </c>
      <c r="B39" s="370">
        <v>0</v>
      </c>
      <c r="C39" s="370">
        <v>0</v>
      </c>
      <c r="D39" s="370"/>
      <c r="E39" s="1133"/>
      <c r="F39" s="370">
        <v>0</v>
      </c>
      <c r="G39" s="370">
        <v>0</v>
      </c>
      <c r="H39" s="370"/>
      <c r="I39" s="1133"/>
      <c r="J39" s="370">
        <f aca="true" t="shared" si="10" ref="J39:L40">B39+F39</f>
        <v>0</v>
      </c>
      <c r="K39" s="1136">
        <f t="shared" si="10"/>
        <v>0</v>
      </c>
      <c r="L39" s="1136">
        <f t="shared" si="10"/>
        <v>0</v>
      </c>
      <c r="M39" s="1133"/>
    </row>
    <row r="40" spans="1:15" ht="27" customHeight="1">
      <c r="A40" s="615" t="s">
        <v>1207</v>
      </c>
      <c r="B40" s="370">
        <f>'Fejlesztési kiadások'!E60</f>
        <v>1582</v>
      </c>
      <c r="C40" s="370">
        <f>B40</f>
        <v>1582</v>
      </c>
      <c r="D40" s="370">
        <v>641.544</v>
      </c>
      <c r="E40" s="1133">
        <f t="shared" si="3"/>
        <v>0.40552718078381794</v>
      </c>
      <c r="F40" s="370">
        <v>0</v>
      </c>
      <c r="G40" s="370">
        <v>0</v>
      </c>
      <c r="H40" s="370"/>
      <c r="I40" s="1133"/>
      <c r="J40" s="370">
        <f t="shared" si="10"/>
        <v>1582</v>
      </c>
      <c r="K40" s="1136">
        <f t="shared" si="10"/>
        <v>1582</v>
      </c>
      <c r="L40" s="1136">
        <f t="shared" si="10"/>
        <v>641.544</v>
      </c>
      <c r="M40" s="1133">
        <f t="shared" si="4"/>
        <v>0.40552718078381794</v>
      </c>
      <c r="N40" s="371"/>
      <c r="O40" s="372"/>
    </row>
    <row r="41" spans="1:15" ht="27" customHeight="1">
      <c r="A41" s="615" t="s">
        <v>1525</v>
      </c>
      <c r="B41" s="370">
        <v>0</v>
      </c>
      <c r="C41" s="370">
        <v>288</v>
      </c>
      <c r="D41" s="370"/>
      <c r="E41" s="1133">
        <f t="shared" si="3"/>
        <v>0</v>
      </c>
      <c r="F41" s="370">
        <v>0</v>
      </c>
      <c r="G41" s="370">
        <v>0</v>
      </c>
      <c r="H41" s="370"/>
      <c r="I41" s="1133"/>
      <c r="J41" s="370">
        <v>0</v>
      </c>
      <c r="K41" s="1136">
        <v>288</v>
      </c>
      <c r="L41" s="370"/>
      <c r="M41" s="1133">
        <f t="shared" si="4"/>
        <v>0</v>
      </c>
      <c r="N41" s="371"/>
      <c r="O41" s="372"/>
    </row>
    <row r="42" spans="1:15" ht="40.5" customHeight="1">
      <c r="A42" s="758" t="s">
        <v>1384</v>
      </c>
      <c r="B42" s="338">
        <v>0</v>
      </c>
      <c r="C42" s="338">
        <v>0</v>
      </c>
      <c r="D42" s="338"/>
      <c r="E42" s="1133"/>
      <c r="F42" s="338">
        <v>0</v>
      </c>
      <c r="G42" s="338">
        <v>0</v>
      </c>
      <c r="H42" s="338"/>
      <c r="I42" s="1133"/>
      <c r="J42" s="338">
        <v>0</v>
      </c>
      <c r="K42" s="1135">
        <v>0</v>
      </c>
      <c r="L42" s="338"/>
      <c r="M42" s="1133"/>
      <c r="N42" s="371"/>
      <c r="O42" s="372"/>
    </row>
    <row r="43" spans="1:15" ht="27" customHeight="1">
      <c r="A43" s="750" t="s">
        <v>693</v>
      </c>
      <c r="B43" s="881">
        <f>B44</f>
        <v>6425.714267716536</v>
      </c>
      <c r="C43" s="881">
        <f>C44</f>
        <v>6425.714267716536</v>
      </c>
      <c r="D43" s="881">
        <f>D44</f>
        <v>0</v>
      </c>
      <c r="E43" s="1133">
        <f t="shared" si="3"/>
        <v>0</v>
      </c>
      <c r="F43" s="881">
        <f>F44</f>
        <v>0</v>
      </c>
      <c r="G43" s="881">
        <f>G44</f>
        <v>0</v>
      </c>
      <c r="H43" s="881">
        <f>H44</f>
        <v>0</v>
      </c>
      <c r="I43" s="1133"/>
      <c r="J43" s="881">
        <f aca="true" t="shared" si="11" ref="J43:L45">B43+F43</f>
        <v>6425.714267716536</v>
      </c>
      <c r="K43" s="1140">
        <f t="shared" si="11"/>
        <v>6425.714267716536</v>
      </c>
      <c r="L43" s="1140">
        <f t="shared" si="11"/>
        <v>0</v>
      </c>
      <c r="M43" s="1133">
        <f t="shared" si="4"/>
        <v>0</v>
      </c>
      <c r="N43" s="291"/>
      <c r="O43" s="102"/>
    </row>
    <row r="44" spans="1:15" ht="27" customHeight="1">
      <c r="A44" s="307" t="s">
        <v>315</v>
      </c>
      <c r="B44" s="215">
        <f>'Fejlesztési kiadások'!F91+'Fejlesztési kiadások'!E92</f>
        <v>6425.714267716536</v>
      </c>
      <c r="C44" s="215">
        <f>B44</f>
        <v>6425.714267716536</v>
      </c>
      <c r="D44" s="215"/>
      <c r="E44" s="1133">
        <f t="shared" si="3"/>
        <v>0</v>
      </c>
      <c r="F44" s="215">
        <v>0</v>
      </c>
      <c r="G44" s="215">
        <v>0</v>
      </c>
      <c r="H44" s="215"/>
      <c r="I44" s="1133"/>
      <c r="J44" s="336">
        <f t="shared" si="11"/>
        <v>6425.714267716536</v>
      </c>
      <c r="K44" s="1141">
        <f t="shared" si="11"/>
        <v>6425.714267716536</v>
      </c>
      <c r="L44" s="1141">
        <f t="shared" si="11"/>
        <v>0</v>
      </c>
      <c r="M44" s="1133">
        <f t="shared" si="4"/>
        <v>0</v>
      </c>
      <c r="N44" s="291"/>
      <c r="O44" s="102"/>
    </row>
    <row r="45" spans="1:15" ht="27" customHeight="1">
      <c r="A45" s="750" t="s">
        <v>1386</v>
      </c>
      <c r="B45" s="881">
        <f>B46</f>
        <v>5500</v>
      </c>
      <c r="C45" s="881">
        <f>C46</f>
        <v>5500</v>
      </c>
      <c r="D45" s="881">
        <f>D46</f>
        <v>0</v>
      </c>
      <c r="E45" s="1133">
        <f t="shared" si="3"/>
        <v>0</v>
      </c>
      <c r="F45" s="881">
        <v>0</v>
      </c>
      <c r="G45" s="881">
        <v>0</v>
      </c>
      <c r="H45" s="881"/>
      <c r="I45" s="1133"/>
      <c r="J45" s="881">
        <f t="shared" si="11"/>
        <v>5500</v>
      </c>
      <c r="K45" s="1140">
        <f t="shared" si="11"/>
        <v>5500</v>
      </c>
      <c r="L45" s="1140">
        <f t="shared" si="11"/>
        <v>0</v>
      </c>
      <c r="M45" s="1133">
        <f t="shared" si="4"/>
        <v>0</v>
      </c>
      <c r="N45" s="291"/>
      <c r="O45" s="102"/>
    </row>
    <row r="46" spans="1:15" ht="27" customHeight="1">
      <c r="A46" s="307" t="s">
        <v>317</v>
      </c>
      <c r="B46" s="215">
        <v>5500</v>
      </c>
      <c r="C46" s="215">
        <f>B46</f>
        <v>5500</v>
      </c>
      <c r="D46" s="215"/>
      <c r="E46" s="1133">
        <f t="shared" si="3"/>
        <v>0</v>
      </c>
      <c r="F46" s="215">
        <v>0</v>
      </c>
      <c r="G46" s="215">
        <v>0</v>
      </c>
      <c r="H46" s="215"/>
      <c r="I46" s="1133"/>
      <c r="J46" s="336">
        <f>'Fejlesztési kiadások'!E98+'Fejlesztési kiadások'!E97</f>
        <v>5500.1</v>
      </c>
      <c r="K46" s="1141">
        <f>J46</f>
        <v>5500.1</v>
      </c>
      <c r="L46" s="1141"/>
      <c r="M46" s="1133">
        <f t="shared" si="4"/>
        <v>0</v>
      </c>
      <c r="N46" s="291"/>
      <c r="O46" s="102"/>
    </row>
    <row r="47" spans="1:13" ht="27" customHeight="1">
      <c r="A47" s="750" t="s">
        <v>1388</v>
      </c>
      <c r="B47" s="881">
        <f>B48</f>
        <v>4050</v>
      </c>
      <c r="C47" s="881">
        <f>C48</f>
        <v>4050</v>
      </c>
      <c r="D47" s="881">
        <f>D48</f>
        <v>0</v>
      </c>
      <c r="E47" s="1133">
        <f t="shared" si="3"/>
        <v>0</v>
      </c>
      <c r="F47" s="336">
        <v>0</v>
      </c>
      <c r="G47" s="336">
        <v>0</v>
      </c>
      <c r="H47" s="336"/>
      <c r="I47" s="1133"/>
      <c r="J47" s="881">
        <f aca="true" t="shared" si="12" ref="J47:L48">B47+F47</f>
        <v>4050</v>
      </c>
      <c r="K47" s="1140">
        <f t="shared" si="12"/>
        <v>4050</v>
      </c>
      <c r="L47" s="1140">
        <f t="shared" si="12"/>
        <v>0</v>
      </c>
      <c r="M47" s="1133">
        <f t="shared" si="4"/>
        <v>0</v>
      </c>
    </row>
    <row r="48" spans="1:13" ht="27" customHeight="1">
      <c r="A48" s="307" t="s">
        <v>357</v>
      </c>
      <c r="B48" s="215">
        <v>4050</v>
      </c>
      <c r="C48" s="215">
        <v>4050</v>
      </c>
      <c r="D48" s="215"/>
      <c r="E48" s="1133">
        <f t="shared" si="3"/>
        <v>0</v>
      </c>
      <c r="F48" s="215">
        <v>0</v>
      </c>
      <c r="G48" s="215">
        <v>0</v>
      </c>
      <c r="H48" s="215"/>
      <c r="I48" s="1133"/>
      <c r="J48" s="215">
        <f t="shared" si="12"/>
        <v>4050</v>
      </c>
      <c r="K48" s="1142">
        <f t="shared" si="12"/>
        <v>4050</v>
      </c>
      <c r="L48" s="1142">
        <f t="shared" si="12"/>
        <v>0</v>
      </c>
      <c r="M48" s="1133">
        <f t="shared" si="4"/>
        <v>0</v>
      </c>
    </row>
    <row r="49" spans="1:13" ht="27" customHeight="1">
      <c r="A49" s="750" t="s">
        <v>877</v>
      </c>
      <c r="B49" s="215">
        <v>9491</v>
      </c>
      <c r="C49" s="215">
        <v>9491</v>
      </c>
      <c r="D49" s="215"/>
      <c r="E49" s="1133">
        <f t="shared" si="3"/>
        <v>0</v>
      </c>
      <c r="F49" s="215">
        <v>0</v>
      </c>
      <c r="G49" s="215">
        <v>0</v>
      </c>
      <c r="H49" s="215"/>
      <c r="I49" s="1133"/>
      <c r="J49" s="215">
        <v>9491</v>
      </c>
      <c r="K49" s="1142">
        <v>9491</v>
      </c>
      <c r="L49" s="215"/>
      <c r="M49" s="1133">
        <f t="shared" si="4"/>
        <v>0</v>
      </c>
    </row>
    <row r="50" spans="1:13" ht="27" customHeight="1">
      <c r="A50" s="750" t="s">
        <v>1318</v>
      </c>
      <c r="B50" s="215">
        <v>0</v>
      </c>
      <c r="C50" s="215">
        <v>0</v>
      </c>
      <c r="D50" s="215"/>
      <c r="E50" s="1133"/>
      <c r="F50" s="215">
        <f>J50</f>
        <v>18153</v>
      </c>
      <c r="G50" s="215">
        <f>K50</f>
        <v>18153</v>
      </c>
      <c r="H50" s="215"/>
      <c r="I50" s="1133">
        <f>H50/G50</f>
        <v>0</v>
      </c>
      <c r="J50" s="215">
        <f>17549+604</f>
        <v>18153</v>
      </c>
      <c r="K50" s="1142">
        <f>17549+604</f>
        <v>18153</v>
      </c>
      <c r="L50" s="215"/>
      <c r="M50" s="1133">
        <f t="shared" si="4"/>
        <v>0</v>
      </c>
    </row>
    <row r="51" spans="1:17" ht="27" customHeight="1">
      <c r="A51" s="133" t="s">
        <v>692</v>
      </c>
      <c r="B51" s="340">
        <f>B62+B64</f>
        <v>29024.1065</v>
      </c>
      <c r="C51" s="340">
        <f>C62+C64</f>
        <v>29024.1065</v>
      </c>
      <c r="D51" s="340">
        <f>D62+D64</f>
        <v>8237.940000000002</v>
      </c>
      <c r="E51" s="1133">
        <f t="shared" si="3"/>
        <v>0.2838309596197217</v>
      </c>
      <c r="F51" s="340">
        <v>0</v>
      </c>
      <c r="G51" s="340">
        <v>0</v>
      </c>
      <c r="H51" s="340">
        <v>0</v>
      </c>
      <c r="I51" s="1133">
        <v>0</v>
      </c>
      <c r="J51" s="340">
        <f>J62+J64</f>
        <v>29024.1065</v>
      </c>
      <c r="K51" s="1139">
        <f>K62+K64</f>
        <v>29024.1065</v>
      </c>
      <c r="L51" s="1139">
        <f>L62+L64</f>
        <v>70123.163</v>
      </c>
      <c r="M51" s="1133">
        <f t="shared" si="4"/>
        <v>2.4160317562230555</v>
      </c>
      <c r="N51" s="1147" t="s">
        <v>310</v>
      </c>
      <c r="O51" s="395" t="s">
        <v>311</v>
      </c>
      <c r="P51" s="395" t="s">
        <v>1213</v>
      </c>
      <c r="Q51" s="99" t="s">
        <v>480</v>
      </c>
    </row>
    <row r="52" spans="1:17" ht="33" customHeight="1">
      <c r="A52" s="365" t="s">
        <v>312</v>
      </c>
      <c r="B52" s="370">
        <f>'Fejlesztési kiadások'!E67+'Fejlesztési kiadások'!E78</f>
        <v>5655.896500000001</v>
      </c>
      <c r="C52" s="370">
        <f>B52</f>
        <v>5655.896500000001</v>
      </c>
      <c r="D52" s="370">
        <f>L52</f>
        <v>2682.883</v>
      </c>
      <c r="E52" s="1133">
        <f t="shared" si="3"/>
        <v>0.4743515020121036</v>
      </c>
      <c r="F52" s="370">
        <v>0</v>
      </c>
      <c r="G52" s="370">
        <v>0</v>
      </c>
      <c r="H52" s="370">
        <v>0</v>
      </c>
      <c r="I52" s="1133">
        <v>0</v>
      </c>
      <c r="J52" s="370">
        <f>B52</f>
        <v>5655.896500000001</v>
      </c>
      <c r="K52" s="1136">
        <f>C52</f>
        <v>5655.896500000001</v>
      </c>
      <c r="L52" s="1136">
        <v>2682.883</v>
      </c>
      <c r="M52" s="1133">
        <f t="shared" si="4"/>
        <v>0.4743515020121036</v>
      </c>
      <c r="N52" s="1148">
        <v>2112</v>
      </c>
      <c r="O52" s="370">
        <f>33366*0.068</f>
        <v>2268.8880000000004</v>
      </c>
      <c r="P52" s="214">
        <f aca="true" t="shared" si="13" ref="P52:P59">N52+O52</f>
        <v>4380.888000000001</v>
      </c>
      <c r="Q52" s="307" t="s">
        <v>395</v>
      </c>
    </row>
    <row r="53" spans="1:17" ht="27" customHeight="1">
      <c r="A53" s="308" t="s">
        <v>313</v>
      </c>
      <c r="B53" s="370">
        <f>'Fejlesztési kiadások'!E68+'Fejlesztési kiadások'!E79</f>
        <v>13661.434000000001</v>
      </c>
      <c r="C53" s="370">
        <f aca="true" t="shared" si="14" ref="C53:C61">B53</f>
        <v>13661.434000000001</v>
      </c>
      <c r="D53" s="370">
        <f>L53-H53</f>
        <v>1598.7770000000019</v>
      </c>
      <c r="E53" s="1133">
        <f t="shared" si="3"/>
        <v>0.11702849056694939</v>
      </c>
      <c r="F53" s="370">
        <v>0</v>
      </c>
      <c r="G53" s="370">
        <v>0</v>
      </c>
      <c r="H53" s="370">
        <f>4am!D39</f>
        <v>61885.223</v>
      </c>
      <c r="I53" s="1133">
        <v>0</v>
      </c>
      <c r="J53" s="370">
        <f aca="true" t="shared" si="15" ref="J53:K61">B53</f>
        <v>13661.434000000001</v>
      </c>
      <c r="K53" s="1136">
        <f t="shared" si="15"/>
        <v>13661.434000000001</v>
      </c>
      <c r="L53" s="1136">
        <v>63484</v>
      </c>
      <c r="M53" s="1133">
        <f t="shared" si="4"/>
        <v>4.646949946835742</v>
      </c>
      <c r="N53" s="1148">
        <v>6456</v>
      </c>
      <c r="O53" s="215">
        <f>76396*0.0653</f>
        <v>4988.6588</v>
      </c>
      <c r="P53" s="214">
        <f t="shared" si="13"/>
        <v>11444.658800000001</v>
      </c>
      <c r="Q53" s="398" t="s">
        <v>396</v>
      </c>
    </row>
    <row r="54" spans="1:18" ht="27" customHeight="1">
      <c r="A54" s="308" t="s">
        <v>314</v>
      </c>
      <c r="B54" s="370">
        <f>'Fejlesztési kiadások'!E69+'Fejlesztési kiadások'!E80</f>
        <v>1663.46</v>
      </c>
      <c r="C54" s="370">
        <f t="shared" si="14"/>
        <v>1663.46</v>
      </c>
      <c r="D54" s="370">
        <f aca="true" t="shared" si="16" ref="D54:D61">L54</f>
        <v>520</v>
      </c>
      <c r="E54" s="1133">
        <f t="shared" si="3"/>
        <v>0.31260144518052735</v>
      </c>
      <c r="F54" s="370">
        <v>0</v>
      </c>
      <c r="G54" s="370">
        <v>0</v>
      </c>
      <c r="H54" s="370">
        <v>0</v>
      </c>
      <c r="I54" s="1133">
        <v>0</v>
      </c>
      <c r="J54" s="370">
        <f t="shared" si="15"/>
        <v>1663.46</v>
      </c>
      <c r="K54" s="1136">
        <f t="shared" si="15"/>
        <v>1663.46</v>
      </c>
      <c r="L54" s="1136">
        <v>520</v>
      </c>
      <c r="M54" s="1133">
        <f t="shared" si="4"/>
        <v>0.31260144518052735</v>
      </c>
      <c r="N54" s="1148">
        <v>1040</v>
      </c>
      <c r="O54" s="215">
        <f>12470*0.1</f>
        <v>1247</v>
      </c>
      <c r="P54" s="214">
        <f t="shared" si="13"/>
        <v>2287</v>
      </c>
      <c r="Q54" s="307" t="s">
        <v>397</v>
      </c>
      <c r="R54" s="1094"/>
    </row>
    <row r="55" spans="1:18" s="605" customFormat="1" ht="22.5" customHeight="1" hidden="1">
      <c r="A55" s="648" t="s">
        <v>674</v>
      </c>
      <c r="B55" s="370">
        <v>0</v>
      </c>
      <c r="C55" s="370">
        <f t="shared" si="14"/>
        <v>0</v>
      </c>
      <c r="D55" s="370">
        <f t="shared" si="16"/>
        <v>0</v>
      </c>
      <c r="E55" s="1133" t="e">
        <f t="shared" si="3"/>
        <v>#DIV/0!</v>
      </c>
      <c r="F55" s="370">
        <v>0</v>
      </c>
      <c r="G55" s="370"/>
      <c r="H55" s="370"/>
      <c r="I55" s="1133"/>
      <c r="J55" s="370">
        <v>0</v>
      </c>
      <c r="L55" s="604"/>
      <c r="M55" s="1133" t="e">
        <f t="shared" si="4"/>
        <v>#DIV/0!</v>
      </c>
      <c r="N55" s="1149">
        <v>384</v>
      </c>
      <c r="O55" s="602">
        <f>6318*0.087</f>
        <v>549.6659999999999</v>
      </c>
      <c r="P55" s="602">
        <f t="shared" si="13"/>
        <v>933.6659999999999</v>
      </c>
      <c r="Q55" s="603" t="s">
        <v>323</v>
      </c>
      <c r="R55" s="604">
        <v>0.707</v>
      </c>
    </row>
    <row r="56" spans="1:21" ht="27" customHeight="1">
      <c r="A56" s="308" t="s">
        <v>677</v>
      </c>
      <c r="B56" s="370">
        <f>'Fejlesztési kiadások'!E71+'Fejlesztési kiadások'!E82</f>
        <v>848.9639999999999</v>
      </c>
      <c r="C56" s="370">
        <f t="shared" si="14"/>
        <v>848.9639999999999</v>
      </c>
      <c r="D56" s="370">
        <f t="shared" si="16"/>
        <v>403.44</v>
      </c>
      <c r="E56" s="1133">
        <f t="shared" si="3"/>
        <v>0.4752144967277765</v>
      </c>
      <c r="F56" s="370">
        <v>0</v>
      </c>
      <c r="G56" s="370">
        <v>0</v>
      </c>
      <c r="H56" s="370">
        <v>0</v>
      </c>
      <c r="I56" s="1133">
        <v>0</v>
      </c>
      <c r="J56" s="370">
        <f t="shared" si="15"/>
        <v>848.9639999999999</v>
      </c>
      <c r="K56" s="1136">
        <f t="shared" si="15"/>
        <v>848.9639999999999</v>
      </c>
      <c r="L56" s="1136">
        <v>403.44</v>
      </c>
      <c r="M56" s="1133">
        <f t="shared" si="4"/>
        <v>0.4752144967277765</v>
      </c>
      <c r="N56" s="1150">
        <v>808</v>
      </c>
      <c r="O56" s="215">
        <f>2420*0.087</f>
        <v>210.54</v>
      </c>
      <c r="P56" s="214">
        <f t="shared" si="13"/>
        <v>1018.54</v>
      </c>
      <c r="Q56" s="398" t="s">
        <v>324</v>
      </c>
      <c r="R56" s="372"/>
      <c r="S56" s="372"/>
      <c r="T56" s="372"/>
      <c r="U56" s="372"/>
    </row>
    <row r="57" spans="1:21" ht="27" customHeight="1">
      <c r="A57" s="308" t="s">
        <v>669</v>
      </c>
      <c r="B57" s="370">
        <f>'Fejlesztési kiadások'!E72+'Fejlesztési kiadások'!E83</f>
        <v>1556.104</v>
      </c>
      <c r="C57" s="370">
        <f t="shared" si="14"/>
        <v>1556.104</v>
      </c>
      <c r="D57" s="370">
        <f t="shared" si="16"/>
        <v>747.84</v>
      </c>
      <c r="E57" s="1133">
        <f t="shared" si="3"/>
        <v>0.4805848452288536</v>
      </c>
      <c r="F57" s="370">
        <v>0</v>
      </c>
      <c r="G57" s="370">
        <v>0</v>
      </c>
      <c r="H57" s="370">
        <v>0</v>
      </c>
      <c r="I57" s="1133">
        <v>0</v>
      </c>
      <c r="J57" s="370">
        <f t="shared" si="15"/>
        <v>1556.104</v>
      </c>
      <c r="K57" s="1136">
        <f t="shared" si="15"/>
        <v>1556.104</v>
      </c>
      <c r="L57" s="1136">
        <v>747.84</v>
      </c>
      <c r="M57" s="1133">
        <f t="shared" si="4"/>
        <v>0.4805848452288536</v>
      </c>
      <c r="N57" s="1150">
        <v>1496</v>
      </c>
      <c r="O57" s="215">
        <f>4357*0.087</f>
        <v>379.05899999999997</v>
      </c>
      <c r="P57" s="214">
        <f t="shared" si="13"/>
        <v>1875.059</v>
      </c>
      <c r="Q57" s="398" t="s">
        <v>324</v>
      </c>
      <c r="R57" s="372"/>
      <c r="S57" s="372"/>
      <c r="T57" s="372"/>
      <c r="U57" s="372"/>
    </row>
    <row r="58" spans="1:21" ht="27" customHeight="1">
      <c r="A58" s="308" t="s">
        <v>670</v>
      </c>
      <c r="B58" s="370">
        <f>'Fejlesztési kiadások'!E73+'Fejlesztési kiadások'!E84</f>
        <v>3477.004</v>
      </c>
      <c r="C58" s="370">
        <f t="shared" si="14"/>
        <v>3477.004</v>
      </c>
      <c r="D58" s="370">
        <f t="shared" si="16"/>
        <v>1502</v>
      </c>
      <c r="E58" s="1133">
        <f t="shared" si="3"/>
        <v>0.43198109636917303</v>
      </c>
      <c r="F58" s="370">
        <v>0</v>
      </c>
      <c r="G58" s="370">
        <v>0</v>
      </c>
      <c r="H58" s="370">
        <v>0</v>
      </c>
      <c r="I58" s="1133">
        <v>0</v>
      </c>
      <c r="J58" s="370">
        <f t="shared" si="15"/>
        <v>3477.004</v>
      </c>
      <c r="K58" s="1136">
        <f t="shared" si="15"/>
        <v>3477.004</v>
      </c>
      <c r="L58" s="1136">
        <v>1502</v>
      </c>
      <c r="M58" s="1133">
        <f t="shared" si="4"/>
        <v>0.43198109636917303</v>
      </c>
      <c r="N58" s="1150">
        <v>1502</v>
      </c>
      <c r="O58" s="215">
        <f>15768*0.085</f>
        <v>1340.2800000000002</v>
      </c>
      <c r="P58" s="214">
        <f t="shared" si="13"/>
        <v>2842.28</v>
      </c>
      <c r="Q58" s="398" t="s">
        <v>325</v>
      </c>
      <c r="R58" s="372"/>
      <c r="S58" s="372"/>
      <c r="T58" s="372"/>
      <c r="U58" s="372"/>
    </row>
    <row r="59" spans="1:21" ht="27" customHeight="1">
      <c r="A59" s="308" t="s">
        <v>671</v>
      </c>
      <c r="B59" s="370">
        <f>'Fejlesztési kiadások'!E85+'Fejlesztési kiadások'!E74</f>
        <v>1065.336</v>
      </c>
      <c r="C59" s="370">
        <f t="shared" si="14"/>
        <v>1065.336</v>
      </c>
      <c r="D59" s="370">
        <f t="shared" si="16"/>
        <v>423</v>
      </c>
      <c r="E59" s="1133">
        <f t="shared" si="3"/>
        <v>0.397057829642479</v>
      </c>
      <c r="F59" s="370">
        <v>0</v>
      </c>
      <c r="G59" s="370">
        <v>0</v>
      </c>
      <c r="H59" s="370">
        <v>0</v>
      </c>
      <c r="I59" s="1133">
        <v>0</v>
      </c>
      <c r="J59" s="370">
        <f t="shared" si="15"/>
        <v>1065.336</v>
      </c>
      <c r="K59" s="1136">
        <f t="shared" si="15"/>
        <v>1065.336</v>
      </c>
      <c r="L59" s="1136">
        <v>423</v>
      </c>
      <c r="M59" s="1133">
        <f t="shared" si="4"/>
        <v>0.397057829642479</v>
      </c>
      <c r="N59" s="1150">
        <v>642</v>
      </c>
      <c r="O59" s="215">
        <f>5706*0.095</f>
        <v>542.07</v>
      </c>
      <c r="P59" s="214">
        <f t="shared" si="13"/>
        <v>1184.0700000000002</v>
      </c>
      <c r="Q59" s="398" t="s">
        <v>326</v>
      </c>
      <c r="R59" s="372"/>
      <c r="S59" s="372"/>
      <c r="T59" s="372"/>
      <c r="U59" s="372"/>
    </row>
    <row r="60" spans="1:21" ht="27" customHeight="1">
      <c r="A60" s="308" t="s">
        <v>672</v>
      </c>
      <c r="B60" s="370">
        <f>'Fejlesztési kiadások'!E75+'Fejlesztési kiadások'!E86</f>
        <v>423.36</v>
      </c>
      <c r="C60" s="370">
        <f t="shared" si="14"/>
        <v>423.36</v>
      </c>
      <c r="D60" s="370">
        <f t="shared" si="16"/>
        <v>168</v>
      </c>
      <c r="E60" s="1133">
        <f t="shared" si="3"/>
        <v>0.3968253968253968</v>
      </c>
      <c r="F60" s="370">
        <v>0</v>
      </c>
      <c r="G60" s="370">
        <v>0</v>
      </c>
      <c r="H60" s="370">
        <v>0</v>
      </c>
      <c r="I60" s="1133">
        <v>0</v>
      </c>
      <c r="J60" s="370">
        <f>B60</f>
        <v>423.36</v>
      </c>
      <c r="K60" s="1136">
        <f>C60</f>
        <v>423.36</v>
      </c>
      <c r="L60" s="1136">
        <v>168</v>
      </c>
      <c r="M60" s="1133">
        <f t="shared" si="4"/>
        <v>0.3968253968253968</v>
      </c>
      <c r="N60" s="1150"/>
      <c r="O60" s="215"/>
      <c r="P60" s="214"/>
      <c r="Q60" s="398"/>
      <c r="R60" s="372"/>
      <c r="S60" s="372"/>
      <c r="T60" s="372"/>
      <c r="U60" s="372"/>
    </row>
    <row r="61" spans="1:21" ht="32.25" customHeight="1">
      <c r="A61" s="848" t="s">
        <v>673</v>
      </c>
      <c r="B61" s="370">
        <f>'Fejlesztési kiadások'!E81+'Fejlesztési kiadások'!E70</f>
        <v>672.548</v>
      </c>
      <c r="C61" s="370">
        <f t="shared" si="14"/>
        <v>672.548</v>
      </c>
      <c r="D61" s="370">
        <f t="shared" si="16"/>
        <v>192</v>
      </c>
      <c r="E61" s="1133">
        <f t="shared" si="3"/>
        <v>0.2854814823625972</v>
      </c>
      <c r="F61" s="370">
        <v>0</v>
      </c>
      <c r="G61" s="370">
        <v>0</v>
      </c>
      <c r="H61" s="370">
        <v>0</v>
      </c>
      <c r="I61" s="1133">
        <v>0</v>
      </c>
      <c r="J61" s="370">
        <f t="shared" si="15"/>
        <v>672.548</v>
      </c>
      <c r="K61" s="1136">
        <f t="shared" si="15"/>
        <v>672.548</v>
      </c>
      <c r="L61" s="1136">
        <v>192</v>
      </c>
      <c r="M61" s="1133">
        <f t="shared" si="4"/>
        <v>0.2854814823625972</v>
      </c>
      <c r="N61" s="1150"/>
      <c r="O61" s="215"/>
      <c r="P61" s="214"/>
      <c r="Q61" s="398"/>
      <c r="R61" s="372"/>
      <c r="S61" s="372"/>
      <c r="T61" s="372"/>
      <c r="U61" s="372"/>
    </row>
    <row r="62" spans="1:17" s="30" customFormat="1" ht="27" customHeight="1">
      <c r="A62" s="397" t="s">
        <v>358</v>
      </c>
      <c r="B62" s="879">
        <f>SUM(B52:B61)</f>
        <v>29024.1065</v>
      </c>
      <c r="C62" s="879">
        <f>SUM(C52:C61)</f>
        <v>29024.1065</v>
      </c>
      <c r="D62" s="879">
        <f>SUM(D52:D61)</f>
        <v>8237.940000000002</v>
      </c>
      <c r="E62" s="1133">
        <f t="shared" si="3"/>
        <v>0.2838309596197217</v>
      </c>
      <c r="F62" s="879">
        <v>0</v>
      </c>
      <c r="G62" s="879">
        <v>0</v>
      </c>
      <c r="H62" s="879"/>
      <c r="I62" s="1133"/>
      <c r="J62" s="879">
        <f>SUM(J52:J61)</f>
        <v>29024.1065</v>
      </c>
      <c r="K62" s="1137">
        <f>SUM(K52:K61)</f>
        <v>29024.1065</v>
      </c>
      <c r="L62" s="1137">
        <f>SUM(L52:L61)</f>
        <v>70123.163</v>
      </c>
      <c r="M62" s="1133">
        <f t="shared" si="4"/>
        <v>2.4160317562230555</v>
      </c>
      <c r="N62" s="1151">
        <f>SUM(N52:N61)</f>
        <v>14440</v>
      </c>
      <c r="O62" s="339">
        <f>SUM(O52:O61)</f>
        <v>11526.1618</v>
      </c>
      <c r="P62" s="339">
        <f>SUM(P52:P61)</f>
        <v>25966.161800000005</v>
      </c>
      <c r="Q62" s="335"/>
    </row>
    <row r="63" spans="1:17" ht="27" customHeight="1">
      <c r="A63" s="307"/>
      <c r="B63" s="374">
        <v>0</v>
      </c>
      <c r="C63" s="374">
        <v>0</v>
      </c>
      <c r="D63" s="374"/>
      <c r="E63" s="1133"/>
      <c r="F63" s="374">
        <v>0</v>
      </c>
      <c r="G63" s="374">
        <v>0</v>
      </c>
      <c r="H63" s="374"/>
      <c r="I63" s="1133"/>
      <c r="J63" s="374">
        <f aca="true" t="shared" si="17" ref="J63:L64">B63</f>
        <v>0</v>
      </c>
      <c r="K63" s="1143">
        <f t="shared" si="17"/>
        <v>0</v>
      </c>
      <c r="L63" s="1143">
        <f t="shared" si="17"/>
        <v>0</v>
      </c>
      <c r="M63" s="1133"/>
      <c r="N63" s="1152">
        <v>32700</v>
      </c>
      <c r="O63" s="374">
        <f>+N63*0.0925</f>
        <v>3024.75</v>
      </c>
      <c r="P63" s="374">
        <f>N63+O63</f>
        <v>35724.75</v>
      </c>
      <c r="Q63" s="398" t="s">
        <v>467</v>
      </c>
    </row>
    <row r="64" spans="1:17" s="30" customFormat="1" ht="40.5" customHeight="1">
      <c r="A64" s="405" t="s">
        <v>676</v>
      </c>
      <c r="B64" s="339">
        <f>+B63</f>
        <v>0</v>
      </c>
      <c r="C64" s="339">
        <f>+C63</f>
        <v>0</v>
      </c>
      <c r="D64" s="339"/>
      <c r="E64" s="1133"/>
      <c r="F64" s="339">
        <v>0</v>
      </c>
      <c r="G64" s="339">
        <v>0</v>
      </c>
      <c r="H64" s="339"/>
      <c r="I64" s="1133"/>
      <c r="J64" s="339">
        <f t="shared" si="17"/>
        <v>0</v>
      </c>
      <c r="K64" s="1144">
        <f t="shared" si="17"/>
        <v>0</v>
      </c>
      <c r="L64" s="1144">
        <f t="shared" si="17"/>
        <v>0</v>
      </c>
      <c r="M64" s="1133"/>
      <c r="N64" s="1151">
        <f>+N63</f>
        <v>32700</v>
      </c>
      <c r="O64" s="339">
        <f>+O63</f>
        <v>3024.75</v>
      </c>
      <c r="P64" s="339">
        <f>+P63</f>
        <v>35724.75</v>
      </c>
      <c r="Q64" s="335"/>
    </row>
    <row r="65" spans="1:13" ht="27" customHeight="1">
      <c r="A65" s="335" t="s">
        <v>1385</v>
      </c>
      <c r="B65" s="213">
        <f>J65-F65</f>
        <v>200</v>
      </c>
      <c r="C65" s="213">
        <f>K65-G65</f>
        <v>200</v>
      </c>
      <c r="D65" s="213"/>
      <c r="E65" s="1133">
        <f t="shared" si="3"/>
        <v>0</v>
      </c>
      <c r="F65" s="335">
        <v>0</v>
      </c>
      <c r="G65" s="335">
        <v>0</v>
      </c>
      <c r="H65" s="335"/>
      <c r="I65" s="1133"/>
      <c r="J65" s="213">
        <f>SUM(J66:J67)</f>
        <v>200</v>
      </c>
      <c r="K65" s="1145">
        <f>SUM(K66:K67)</f>
        <v>200</v>
      </c>
      <c r="L65" s="1145">
        <f>SUM(L66:L67)</f>
        <v>0</v>
      </c>
      <c r="M65" s="1133">
        <f t="shared" si="4"/>
        <v>0</v>
      </c>
    </row>
    <row r="66" spans="1:13" ht="27" customHeight="1">
      <c r="A66" s="307" t="s">
        <v>1349</v>
      </c>
      <c r="B66" s="234"/>
      <c r="C66" s="234"/>
      <c r="D66" s="234"/>
      <c r="E66" s="1133"/>
      <c r="F66" s="307"/>
      <c r="G66" s="307"/>
      <c r="H66" s="307"/>
      <c r="I66" s="1133"/>
      <c r="J66" s="214">
        <v>100</v>
      </c>
      <c r="K66" s="1146">
        <v>100</v>
      </c>
      <c r="L66" s="214"/>
      <c r="M66" s="1133">
        <f t="shared" si="4"/>
        <v>0</v>
      </c>
    </row>
    <row r="67" spans="1:13" ht="27" customHeight="1">
      <c r="A67" s="308" t="s">
        <v>1350</v>
      </c>
      <c r="B67" s="234"/>
      <c r="C67" s="234"/>
      <c r="D67" s="234"/>
      <c r="E67" s="1133"/>
      <c r="F67" s="307"/>
      <c r="G67" s="307"/>
      <c r="H67" s="307"/>
      <c r="I67" s="1133"/>
      <c r="J67" s="214">
        <f>5m!B20</f>
        <v>100</v>
      </c>
      <c r="K67" s="1146">
        <f>J67</f>
        <v>100</v>
      </c>
      <c r="L67" s="214"/>
      <c r="M67" s="1133">
        <f t="shared" si="4"/>
        <v>0</v>
      </c>
    </row>
    <row r="68" spans="1:15" ht="27" customHeight="1">
      <c r="A68" s="335" t="s">
        <v>319</v>
      </c>
      <c r="B68" s="213">
        <f aca="true" t="shared" si="18" ref="B68:K68">+B8+B29+B34+B51+B65</f>
        <v>103470.82076771653</v>
      </c>
      <c r="C68" s="213">
        <f t="shared" si="18"/>
        <v>109851.82076771653</v>
      </c>
      <c r="D68" s="213">
        <f t="shared" si="18"/>
        <v>77310.622</v>
      </c>
      <c r="E68" s="1133">
        <f t="shared" si="3"/>
        <v>0.7037718761482759</v>
      </c>
      <c r="F68" s="213">
        <f t="shared" si="18"/>
        <v>729371</v>
      </c>
      <c r="G68" s="213">
        <f t="shared" si="18"/>
        <v>729371</v>
      </c>
      <c r="H68" s="213">
        <f t="shared" si="18"/>
        <v>125568.207</v>
      </c>
      <c r="I68" s="1133">
        <f>H68/G68</f>
        <v>0.17215958270893686</v>
      </c>
      <c r="J68" s="213">
        <f t="shared" si="18"/>
        <v>832841.8207677165</v>
      </c>
      <c r="K68" s="1145">
        <f t="shared" si="18"/>
        <v>839222.8207677165</v>
      </c>
      <c r="L68" s="1145">
        <f>+L8+L29+L34+L51+L65</f>
        <v>258901.58299999998</v>
      </c>
      <c r="M68" s="1133">
        <f t="shared" si="4"/>
        <v>0.30850160004366683</v>
      </c>
      <c r="O68" s="98">
        <f>+J68-J65</f>
        <v>832641.8207677165</v>
      </c>
    </row>
    <row r="69" spans="1:10" ht="27" customHeight="1">
      <c r="A69" s="91" t="s">
        <v>815</v>
      </c>
      <c r="J69" s="102">
        <f>4am!B52-4bm!J68</f>
        <v>0.6431322834687307</v>
      </c>
    </row>
    <row r="70" ht="27" customHeight="1">
      <c r="J70" s="101"/>
    </row>
    <row r="71" ht="27" customHeight="1">
      <c r="J71" s="102"/>
    </row>
    <row r="72" ht="27" customHeight="1">
      <c r="J72" s="101"/>
    </row>
    <row r="73" ht="27" customHeight="1">
      <c r="J73" s="101"/>
    </row>
    <row r="74" ht="27" customHeight="1">
      <c r="J74" s="101"/>
    </row>
    <row r="75" ht="27" customHeight="1">
      <c r="J75" s="101"/>
    </row>
    <row r="76" ht="27" customHeight="1">
      <c r="J76" s="101"/>
    </row>
    <row r="77" ht="27" customHeight="1">
      <c r="J77" s="101"/>
    </row>
    <row r="78" ht="27" customHeight="1">
      <c r="J78" s="101"/>
    </row>
    <row r="79" ht="27" customHeight="1">
      <c r="J79" s="101"/>
    </row>
    <row r="80" ht="27" customHeight="1">
      <c r="J80" s="101"/>
    </row>
    <row r="81" ht="27" customHeight="1">
      <c r="J81" s="101"/>
    </row>
    <row r="82" ht="27" customHeight="1">
      <c r="J82" s="101"/>
    </row>
    <row r="83" ht="27" customHeight="1">
      <c r="J83" s="101"/>
    </row>
    <row r="84" ht="27" customHeight="1">
      <c r="J84" s="101"/>
    </row>
    <row r="85" ht="27" customHeight="1">
      <c r="J85" s="101"/>
    </row>
    <row r="86" ht="27" customHeight="1">
      <c r="J86" s="101"/>
    </row>
    <row r="87" ht="27" customHeight="1">
      <c r="J87" s="101"/>
    </row>
    <row r="88" ht="27" customHeight="1">
      <c r="J88" s="101"/>
    </row>
    <row r="89" ht="27" customHeight="1">
      <c r="J89" s="101"/>
    </row>
    <row r="90" ht="27" customHeight="1">
      <c r="J90" s="101"/>
    </row>
    <row r="91" ht="27" customHeight="1">
      <c r="J91" s="101"/>
    </row>
    <row r="92" ht="27" customHeight="1">
      <c r="J92" s="101"/>
    </row>
    <row r="93" ht="27" customHeight="1">
      <c r="J93" s="101"/>
    </row>
    <row r="94" ht="27" customHeight="1">
      <c r="J94" s="101"/>
    </row>
    <row r="95" ht="27" customHeight="1">
      <c r="J95" s="101"/>
    </row>
    <row r="96" ht="27" customHeight="1">
      <c r="J96" s="101"/>
    </row>
    <row r="97" ht="27" customHeight="1">
      <c r="J97" s="101"/>
    </row>
    <row r="98" ht="27" customHeight="1">
      <c r="J98" s="101"/>
    </row>
    <row r="99" ht="27" customHeight="1">
      <c r="J99" s="101"/>
    </row>
    <row r="100" ht="27" customHeight="1">
      <c r="J100" s="101"/>
    </row>
    <row r="101" ht="27" customHeight="1">
      <c r="J101" s="101"/>
    </row>
    <row r="102" ht="27" customHeight="1">
      <c r="J102" s="101"/>
    </row>
    <row r="103" ht="27" customHeight="1">
      <c r="J103" s="101"/>
    </row>
    <row r="104" ht="27" customHeight="1">
      <c r="J104" s="101"/>
    </row>
    <row r="105" ht="27" customHeight="1">
      <c r="J105" s="101"/>
    </row>
    <row r="106" ht="27" customHeight="1">
      <c r="J106" s="101"/>
    </row>
    <row r="107" ht="27" customHeight="1">
      <c r="J107" s="101"/>
    </row>
    <row r="108" ht="27" customHeight="1">
      <c r="J108" s="101"/>
    </row>
    <row r="109" ht="27" customHeight="1">
      <c r="J109" s="101"/>
    </row>
    <row r="110" ht="27" customHeight="1">
      <c r="J110" s="101"/>
    </row>
    <row r="111" ht="27" customHeight="1">
      <c r="J111" s="101"/>
    </row>
    <row r="112" ht="27" customHeight="1">
      <c r="J112" s="101"/>
    </row>
    <row r="113" ht="27" customHeight="1">
      <c r="J113" s="101"/>
    </row>
    <row r="114" ht="27" customHeight="1">
      <c r="J114" s="101"/>
    </row>
    <row r="115" ht="27" customHeight="1">
      <c r="J115" s="101"/>
    </row>
    <row r="116" ht="27" customHeight="1">
      <c r="J116" s="101"/>
    </row>
    <row r="117" ht="27" customHeight="1">
      <c r="J117" s="101"/>
    </row>
    <row r="118" ht="27" customHeight="1">
      <c r="J118" s="101"/>
    </row>
    <row r="119" ht="27" customHeight="1">
      <c r="J119" s="101"/>
    </row>
  </sheetData>
  <sheetProtection/>
  <mergeCells count="6">
    <mergeCell ref="B6:E6"/>
    <mergeCell ref="F6:I6"/>
    <mergeCell ref="J6:M6"/>
    <mergeCell ref="A4:M4"/>
    <mergeCell ref="A2:M2"/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C23"/>
  <sheetViews>
    <sheetView view="pageBreakPreview" zoomScaleSheetLayoutView="100" zoomScalePageLayoutView="0" workbookViewId="0" topLeftCell="A1">
      <selection activeCell="A17" sqref="A17:C17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1.421875" style="0" hidden="1" customWidth="1"/>
  </cols>
  <sheetData>
    <row r="1" spans="1:3" ht="12.75">
      <c r="A1" s="25"/>
      <c r="B1" s="1259" t="s">
        <v>548</v>
      </c>
      <c r="C1" s="1259"/>
    </row>
    <row r="2" spans="1:3" ht="12.75">
      <c r="A2" s="25"/>
      <c r="B2" s="25"/>
      <c r="C2" s="10"/>
    </row>
    <row r="3" spans="1:3" ht="12.75">
      <c r="A3" s="1214" t="s">
        <v>1499</v>
      </c>
      <c r="B3" s="1214"/>
      <c r="C3" s="32"/>
    </row>
    <row r="4" spans="1:3" ht="12.75">
      <c r="A4" s="25"/>
      <c r="B4" s="25"/>
      <c r="C4" s="25"/>
    </row>
    <row r="5" spans="1:3" ht="12.75">
      <c r="A5" s="25"/>
      <c r="B5" s="25"/>
      <c r="C5" s="25"/>
    </row>
    <row r="6" spans="1:3" ht="18">
      <c r="A6" s="1284" t="s">
        <v>320</v>
      </c>
      <c r="B6" s="1284"/>
      <c r="C6" s="143"/>
    </row>
    <row r="7" spans="1:3" ht="18">
      <c r="A7" s="1284" t="s">
        <v>880</v>
      </c>
      <c r="B7" s="1284"/>
      <c r="C7" s="143"/>
    </row>
    <row r="8" spans="1:3" ht="18.75">
      <c r="A8" s="219"/>
      <c r="B8" s="219"/>
      <c r="C8" s="219"/>
    </row>
    <row r="9" spans="1:3" ht="18.75">
      <c r="A9" s="219"/>
      <c r="B9" s="219"/>
      <c r="C9" s="219"/>
    </row>
    <row r="10" spans="1:3" ht="18.75">
      <c r="A10" s="219"/>
      <c r="B10" s="219"/>
      <c r="C10" s="219"/>
    </row>
    <row r="11" spans="1:3" ht="12.75">
      <c r="A11" s="209"/>
      <c r="B11" s="209"/>
      <c r="C11" s="209"/>
    </row>
    <row r="12" spans="1:3" ht="12.75">
      <c r="A12" s="209"/>
      <c r="B12" s="1303" t="s">
        <v>161</v>
      </c>
      <c r="C12" s="1303"/>
    </row>
    <row r="13" spans="1:3" ht="31.5">
      <c r="A13" s="221" t="s">
        <v>1026</v>
      </c>
      <c r="B13" s="222" t="s">
        <v>160</v>
      </c>
      <c r="C13" s="223" t="s">
        <v>280</v>
      </c>
    </row>
    <row r="14" spans="1:3" ht="15.75">
      <c r="A14" s="224" t="s">
        <v>1234</v>
      </c>
      <c r="B14" s="225">
        <f>SUM(B15:B16)</f>
        <v>200</v>
      </c>
      <c r="C14" s="226">
        <f>SUM(C16)</f>
        <v>0</v>
      </c>
    </row>
    <row r="15" spans="1:3" ht="15.75">
      <c r="A15" s="227" t="s">
        <v>812</v>
      </c>
      <c r="B15" s="225">
        <v>100</v>
      </c>
      <c r="C15" s="228"/>
    </row>
    <row r="16" spans="1:3" ht="15.75">
      <c r="A16" s="227" t="s">
        <v>813</v>
      </c>
      <c r="B16" s="225">
        <v>100</v>
      </c>
      <c r="C16" s="230"/>
    </row>
    <row r="17" spans="1:3" ht="15.75">
      <c r="A17" s="1300"/>
      <c r="B17" s="1301"/>
      <c r="C17" s="1302"/>
    </row>
    <row r="18" spans="1:3" s="26" customFormat="1" ht="15.75">
      <c r="A18" s="231" t="s">
        <v>1236</v>
      </c>
      <c r="B18" s="225">
        <f>B19+B20</f>
        <v>200</v>
      </c>
      <c r="C18" s="232">
        <f>SUM(C19:C19)</f>
        <v>0</v>
      </c>
    </row>
    <row r="19" spans="1:3" s="26" customFormat="1" ht="15.75">
      <c r="A19" s="321" t="s">
        <v>814</v>
      </c>
      <c r="B19" s="322">
        <v>100</v>
      </c>
      <c r="C19" s="323"/>
    </row>
    <row r="20" spans="1:3" ht="15.75">
      <c r="A20" s="863" t="s">
        <v>1348</v>
      </c>
      <c r="B20" s="322">
        <v>100</v>
      </c>
      <c r="C20" s="319"/>
    </row>
    <row r="21" spans="1:3" ht="15.75">
      <c r="A21" s="403"/>
      <c r="B21" s="234"/>
      <c r="C21" s="319"/>
    </row>
    <row r="22" spans="1:3" ht="16.5" customHeight="1">
      <c r="A22" s="320"/>
      <c r="B22" s="324"/>
      <c r="C22" s="312"/>
    </row>
    <row r="23" spans="1:3" ht="15.75">
      <c r="A23" s="223" t="s">
        <v>1237</v>
      </c>
      <c r="B23" s="235">
        <f>+B18+B14</f>
        <v>400</v>
      </c>
      <c r="C23" s="236">
        <f>+C18+C14</f>
        <v>0</v>
      </c>
    </row>
  </sheetData>
  <sheetProtection/>
  <mergeCells count="6">
    <mergeCell ref="B1:C1"/>
    <mergeCell ref="A17:C17"/>
    <mergeCell ref="B12:C12"/>
    <mergeCell ref="A3:B3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8.28125" style="0" customWidth="1"/>
    <col min="2" max="2" width="27.00390625" style="0" customWidth="1"/>
    <col min="3" max="3" width="36.8515625" style="0" customWidth="1"/>
    <col min="4" max="4" width="9.57421875" style="0" hidden="1" customWidth="1"/>
    <col min="5" max="5" width="19.7109375" style="0" hidden="1" customWidth="1"/>
    <col min="9" max="9" width="9.57421875" style="0" bestFit="1" customWidth="1"/>
  </cols>
  <sheetData>
    <row r="1" spans="1:5" ht="12.75">
      <c r="A1" s="209"/>
      <c r="B1" s="209"/>
      <c r="C1" s="209"/>
      <c r="D1" s="209"/>
      <c r="E1" s="209"/>
    </row>
    <row r="2" spans="1:5" ht="12.75">
      <c r="A2" s="25"/>
      <c r="B2" s="25"/>
      <c r="C2" s="27" t="s">
        <v>549</v>
      </c>
      <c r="D2" s="865" t="s">
        <v>549</v>
      </c>
      <c r="E2" s="865"/>
    </row>
    <row r="3" spans="1:5" ht="12.75">
      <c r="A3" s="25"/>
      <c r="B3" s="25"/>
      <c r="C3" s="25"/>
      <c r="D3" s="10"/>
      <c r="E3" s="10"/>
    </row>
    <row r="4" spans="1:5" ht="12.75">
      <c r="A4" s="1214" t="s">
        <v>1499</v>
      </c>
      <c r="B4" s="1214"/>
      <c r="C4" s="1214"/>
      <c r="D4" s="32"/>
      <c r="E4" s="32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5.75">
      <c r="A7" s="1304" t="s">
        <v>881</v>
      </c>
      <c r="B7" s="1304"/>
      <c r="C7" s="1304"/>
      <c r="D7" s="255"/>
      <c r="E7" s="255"/>
    </row>
    <row r="8" spans="1:5" ht="15.75">
      <c r="A8" s="1304" t="s">
        <v>1139</v>
      </c>
      <c r="B8" s="1304"/>
      <c r="C8" s="1304"/>
      <c r="D8" s="255"/>
      <c r="E8" s="255"/>
    </row>
    <row r="11" spans="3:5" ht="12.75">
      <c r="C11" s="27" t="s">
        <v>161</v>
      </c>
      <c r="E11" s="41" t="s">
        <v>161</v>
      </c>
    </row>
    <row r="12" spans="1:5" s="10" customFormat="1" ht="30" customHeight="1">
      <c r="A12" s="12" t="s">
        <v>1248</v>
      </c>
      <c r="B12" s="244" t="s">
        <v>1249</v>
      </c>
      <c r="C12" s="244" t="s">
        <v>1250</v>
      </c>
      <c r="D12" s="244" t="s">
        <v>1315</v>
      </c>
      <c r="E12" s="48" t="s">
        <v>1251</v>
      </c>
    </row>
    <row r="13" spans="1:9" ht="12.75">
      <c r="A13" s="6" t="s">
        <v>1252</v>
      </c>
      <c r="B13" s="7">
        <f>B25*0.08</f>
        <v>158703.03659712</v>
      </c>
      <c r="C13" s="7">
        <f>C25*I13</f>
        <v>168621.9399401559</v>
      </c>
      <c r="D13" s="7">
        <f>C13-B13</f>
        <v>9918.903343035898</v>
      </c>
      <c r="E13" s="7"/>
      <c r="G13" s="207"/>
      <c r="H13" s="24">
        <v>0.08</v>
      </c>
      <c r="I13" s="1087">
        <v>0.085</v>
      </c>
    </row>
    <row r="14" spans="1:9" ht="12.75">
      <c r="A14" s="6" t="s">
        <v>1253</v>
      </c>
      <c r="B14" s="7">
        <f>B25*0.075</f>
        <v>148784.0968098</v>
      </c>
      <c r="C14" s="7">
        <f>C25*I14</f>
        <v>144816.4895956633</v>
      </c>
      <c r="D14" s="7">
        <f>C14-B14</f>
        <v>-3967.6072141366894</v>
      </c>
      <c r="E14" s="7"/>
      <c r="G14" s="207"/>
      <c r="H14" s="24">
        <v>0.075</v>
      </c>
      <c r="I14" s="1087">
        <v>0.073</v>
      </c>
    </row>
    <row r="15" spans="1:9" ht="12.75">
      <c r="A15" s="6" t="s">
        <v>1254</v>
      </c>
      <c r="B15" s="7">
        <f>B25*0.12</f>
        <v>238054.55489567996</v>
      </c>
      <c r="C15" s="7">
        <f>C25*I15</f>
        <v>228135.5658013874</v>
      </c>
      <c r="D15" s="7">
        <f>C15-B15</f>
        <v>-9918.98909429257</v>
      </c>
      <c r="E15" s="7"/>
      <c r="G15" s="207"/>
      <c r="H15" s="24">
        <f>6.5%+3.5%+2%</f>
        <v>0.12000000000000001</v>
      </c>
      <c r="I15" s="1087">
        <v>0.115</v>
      </c>
    </row>
    <row r="16" spans="1:9" ht="12.75">
      <c r="A16" s="6" t="s">
        <v>1255</v>
      </c>
      <c r="B16" s="7">
        <f>B25*0.075</f>
        <v>148784.0968098</v>
      </c>
      <c r="C16" s="7">
        <f>C25*I16</f>
        <v>144816.4895956633</v>
      </c>
      <c r="D16" s="7">
        <f aca="true" t="shared" si="0" ref="D16:D23">C16-B16</f>
        <v>-3967.6072141366894</v>
      </c>
      <c r="E16" s="7"/>
      <c r="G16" s="207"/>
      <c r="H16" s="24">
        <v>0.075</v>
      </c>
      <c r="I16" s="1087">
        <v>0.073</v>
      </c>
    </row>
    <row r="17" spans="1:9" ht="12.75">
      <c r="A17" s="6" t="s">
        <v>1256</v>
      </c>
      <c r="B17" s="7">
        <f>B25*0.075</f>
        <v>148784.0968098</v>
      </c>
      <c r="C17" s="7">
        <f>C25*I17</f>
        <v>144816.4895956633</v>
      </c>
      <c r="D17" s="7">
        <f t="shared" si="0"/>
        <v>-3967.6072141366894</v>
      </c>
      <c r="E17" s="7"/>
      <c r="G17" s="207"/>
      <c r="H17" s="24">
        <v>0.075</v>
      </c>
      <c r="I17" s="1087">
        <v>0.073</v>
      </c>
    </row>
    <row r="18" spans="1:9" ht="12.75">
      <c r="A18" s="6" t="s">
        <v>1257</v>
      </c>
      <c r="B18" s="7">
        <f>B25*0.075</f>
        <v>148784.0968098</v>
      </c>
      <c r="C18" s="7">
        <f>C25*I18</f>
        <v>144816.4895956633</v>
      </c>
      <c r="D18" s="7">
        <f t="shared" si="0"/>
        <v>-3967.6072141366894</v>
      </c>
      <c r="E18" s="7"/>
      <c r="G18" s="207"/>
      <c r="H18" s="24">
        <v>0.075</v>
      </c>
      <c r="I18" s="1087">
        <v>0.073</v>
      </c>
    </row>
    <row r="19" spans="1:9" ht="12.75">
      <c r="A19" s="6" t="s">
        <v>1258</v>
      </c>
      <c r="B19" s="7">
        <f>B25*0.075</f>
        <v>148784.0968098</v>
      </c>
      <c r="C19" s="7">
        <f>C25*I19</f>
        <v>144816.4895956633</v>
      </c>
      <c r="D19" s="7">
        <f t="shared" si="0"/>
        <v>-3967.6072141366894</v>
      </c>
      <c r="E19" s="7"/>
      <c r="G19" s="207"/>
      <c r="H19" s="24">
        <v>0.075</v>
      </c>
      <c r="I19" s="1087">
        <v>0.073</v>
      </c>
    </row>
    <row r="20" spans="1:9" ht="12.75">
      <c r="A20" s="6" t="s">
        <v>1259</v>
      </c>
      <c r="B20" s="7">
        <f>B25*0.085</f>
        <v>168621.97638444</v>
      </c>
      <c r="C20" s="7">
        <f>C25*I20</f>
        <v>144816.4895956633</v>
      </c>
      <c r="D20" s="7">
        <f t="shared" si="0"/>
        <v>-23805.486788776703</v>
      </c>
      <c r="E20" s="7"/>
      <c r="G20" s="207"/>
      <c r="H20" s="24">
        <v>0.085</v>
      </c>
      <c r="I20" s="1087">
        <v>0.073</v>
      </c>
    </row>
    <row r="21" spans="1:9" ht="12.75">
      <c r="A21" s="6" t="s">
        <v>1260</v>
      </c>
      <c r="B21" s="7">
        <f>B25*0.12</f>
        <v>238054.55489567996</v>
      </c>
      <c r="C21" s="7">
        <f>C25*I21</f>
        <v>228135.5658013874</v>
      </c>
      <c r="D21" s="7">
        <f t="shared" si="0"/>
        <v>-9918.98909429257</v>
      </c>
      <c r="E21" s="7"/>
      <c r="G21" s="207"/>
      <c r="H21" s="24">
        <f>6.5%+3.5%+2%</f>
        <v>0.12000000000000001</v>
      </c>
      <c r="I21" s="1087">
        <v>0.115</v>
      </c>
    </row>
    <row r="22" spans="1:9" ht="12.75">
      <c r="A22" s="6" t="s">
        <v>1261</v>
      </c>
      <c r="B22" s="7">
        <f>B25*0.075</f>
        <v>148784.0968098</v>
      </c>
      <c r="C22" s="7">
        <f>C25*I22</f>
        <v>172589.5149975713</v>
      </c>
      <c r="D22" s="7">
        <f t="shared" si="0"/>
        <v>23805.418187771313</v>
      </c>
      <c r="E22" s="7"/>
      <c r="G22" s="207"/>
      <c r="H22" s="24">
        <v>0.075</v>
      </c>
      <c r="I22" s="1087">
        <v>0.087</v>
      </c>
    </row>
    <row r="23" spans="1:9" ht="12.75">
      <c r="A23" s="6" t="s">
        <v>1262</v>
      </c>
      <c r="B23" s="7">
        <f>B25*0.075</f>
        <v>148784.0968098</v>
      </c>
      <c r="C23" s="7">
        <f>C25*I23</f>
        <v>158703.0022966173</v>
      </c>
      <c r="D23" s="7">
        <f t="shared" si="0"/>
        <v>9918.905486817326</v>
      </c>
      <c r="E23" s="7"/>
      <c r="G23" s="207"/>
      <c r="H23" s="24">
        <v>0.075</v>
      </c>
      <c r="I23" s="1087">
        <v>0.08</v>
      </c>
    </row>
    <row r="24" spans="1:9" ht="12.75">
      <c r="A24" s="6" t="s">
        <v>1263</v>
      </c>
      <c r="B24" s="7">
        <f>B25*0.07</f>
        <v>138865.15702248</v>
      </c>
      <c r="C24" s="7">
        <f>C25*I24</f>
        <v>158703.0022966173</v>
      </c>
      <c r="D24" s="7">
        <f>D25-D13-D14-D15-D16-D17-D18-D19-D20-D21-D22-D23</f>
        <v>19837.84527413739</v>
      </c>
      <c r="E24" s="7"/>
      <c r="G24" s="207"/>
      <c r="H24" s="245">
        <v>0.07</v>
      </c>
      <c r="I24" s="1087">
        <v>0.08</v>
      </c>
    </row>
    <row r="25" spans="1:9" s="10" customFormat="1" ht="12.75">
      <c r="A25" s="12" t="s">
        <v>1468</v>
      </c>
      <c r="B25" s="35">
        <f>1m!B62</f>
        <v>1983787.9574639997</v>
      </c>
      <c r="C25" s="35">
        <f>+1m!B42</f>
        <v>1983787.5287077164</v>
      </c>
      <c r="D25" s="35">
        <f>C25-B25</f>
        <v>-0.4287562833633274</v>
      </c>
      <c r="E25" s="35"/>
      <c r="G25" s="11"/>
      <c r="H25" s="343">
        <f>H13+H14+H16+H17+H18+H19+H20+H21+H22+H23+H24+H15</f>
        <v>0.9999999999999999</v>
      </c>
      <c r="I25" s="343">
        <f>SUM(I13:I24)</f>
        <v>0.9999999999999999</v>
      </c>
    </row>
    <row r="26" spans="2:4" ht="12.75" hidden="1">
      <c r="B26" s="8"/>
      <c r="C26" s="8">
        <f>4bm!N73+2bm!AH20</f>
        <v>1150745.70794</v>
      </c>
      <c r="D26" s="8">
        <f>+1bm!V22</f>
        <v>0</v>
      </c>
    </row>
    <row r="27" spans="2:3" ht="12.75" hidden="1">
      <c r="B27" s="8">
        <f>+C26-D26</f>
        <v>1150745.70794</v>
      </c>
      <c r="C27" s="8"/>
    </row>
    <row r="28" spans="3:4" ht="12.75">
      <c r="C28" s="8"/>
      <c r="D28" s="8">
        <f>D13++D14+D15+D16+D17+D18+D19+D20+D21+D22+D23+D24</f>
        <v>-0.4287562833633274</v>
      </c>
    </row>
    <row r="29" spans="2:3" ht="12.75">
      <c r="B29" s="8"/>
      <c r="C29" s="8"/>
    </row>
  </sheetData>
  <sheetProtection/>
  <mergeCells count="3">
    <mergeCell ref="A7:C7"/>
    <mergeCell ref="A8:C8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zoomScaleSheetLayoutView="100" zoomScalePageLayoutView="0" workbookViewId="0" topLeftCell="A7">
      <selection activeCell="A14" sqref="A14:E14"/>
    </sheetView>
  </sheetViews>
  <sheetFormatPr defaultColWidth="9.140625" defaultRowHeight="12.75"/>
  <cols>
    <col min="1" max="1" width="31.8515625" style="0" customWidth="1"/>
    <col min="2" max="2" width="22.28125" style="0" customWidth="1"/>
    <col min="3" max="3" width="14.140625" style="0" bestFit="1" customWidth="1"/>
    <col min="4" max="4" width="21.8515625" style="0" customWidth="1"/>
    <col min="5" max="5" width="12.8515625" style="0" bestFit="1" customWidth="1"/>
    <col min="6" max="6" width="15.00390625" style="0" customWidth="1"/>
    <col min="7" max="7" width="9.140625" style="0" hidden="1" customWidth="1"/>
  </cols>
  <sheetData>
    <row r="1" spans="5:6" ht="12.75">
      <c r="E1" s="1281" t="s">
        <v>550</v>
      </c>
      <c r="F1" s="1259"/>
    </row>
    <row r="4" spans="1:6" ht="12.75">
      <c r="A4" s="1214" t="s">
        <v>1499</v>
      </c>
      <c r="B4" s="1214"/>
      <c r="C4" s="1214"/>
      <c r="D4" s="1214"/>
      <c r="E4" s="1214"/>
      <c r="F4" s="1214"/>
    </row>
    <row r="5" spans="1:6" ht="29.25" customHeight="1">
      <c r="A5" s="1213" t="s">
        <v>882</v>
      </c>
      <c r="B5" s="1213"/>
      <c r="C5" s="1213"/>
      <c r="D5" s="1213"/>
      <c r="E5" s="1213"/>
      <c r="F5" s="1213"/>
    </row>
    <row r="6" spans="1:5" ht="29.25" customHeight="1">
      <c r="A6" s="44"/>
      <c r="B6" s="44"/>
      <c r="C6" s="44"/>
      <c r="D6" s="44"/>
      <c r="E6" s="44"/>
    </row>
    <row r="7" spans="1:5" ht="29.25" customHeight="1">
      <c r="A7" s="44"/>
      <c r="B7" s="44"/>
      <c r="C7" s="44"/>
      <c r="D7" s="44"/>
      <c r="E7" s="44"/>
    </row>
    <row r="8" spans="4:6" ht="13.5" thickBot="1">
      <c r="D8" s="1197" t="s">
        <v>161</v>
      </c>
      <c r="E8" s="1197"/>
      <c r="F8" s="1197"/>
    </row>
    <row r="9" spans="1:7" ht="12.75">
      <c r="A9" s="1316" t="s">
        <v>1026</v>
      </c>
      <c r="B9" s="1314" t="s">
        <v>1264</v>
      </c>
      <c r="C9" s="1314"/>
      <c r="D9" s="1314" t="s">
        <v>1265</v>
      </c>
      <c r="E9" s="1315"/>
      <c r="F9" s="1311" t="s">
        <v>1266</v>
      </c>
      <c r="G9" s="259"/>
    </row>
    <row r="10" spans="1:7" ht="12.75">
      <c r="A10" s="1317"/>
      <c r="B10" s="1322" t="s">
        <v>432</v>
      </c>
      <c r="C10" s="1322" t="s">
        <v>433</v>
      </c>
      <c r="D10" s="1322" t="s">
        <v>432</v>
      </c>
      <c r="E10" s="1322" t="s">
        <v>434</v>
      </c>
      <c r="F10" s="1312"/>
      <c r="G10" s="259"/>
    </row>
    <row r="11" spans="1:7" ht="13.5" thickBot="1">
      <c r="A11" s="1318"/>
      <c r="B11" s="1323"/>
      <c r="C11" s="1323"/>
      <c r="D11" s="1323"/>
      <c r="E11" s="1323"/>
      <c r="F11" s="1313"/>
      <c r="G11" s="259"/>
    </row>
    <row r="12" spans="1:7" ht="27" customHeight="1">
      <c r="A12" s="1305" t="s">
        <v>427</v>
      </c>
      <c r="B12" s="1306"/>
      <c r="C12" s="1306"/>
      <c r="D12" s="1306"/>
      <c r="E12" s="1307"/>
      <c r="F12" s="716"/>
      <c r="G12" s="259"/>
    </row>
    <row r="13" spans="1:7" ht="27" customHeight="1">
      <c r="A13" s="710" t="s">
        <v>1046</v>
      </c>
      <c r="B13" s="764" t="s">
        <v>701</v>
      </c>
      <c r="C13" s="252">
        <v>100</v>
      </c>
      <c r="D13" s="251"/>
      <c r="E13" s="251"/>
      <c r="F13" s="711">
        <f>C13</f>
        <v>100</v>
      </c>
      <c r="G13" s="259"/>
    </row>
    <row r="14" spans="1:7" ht="27" customHeight="1">
      <c r="A14" s="1308" t="s">
        <v>431</v>
      </c>
      <c r="B14" s="1309"/>
      <c r="C14" s="1309"/>
      <c r="D14" s="1309"/>
      <c r="E14" s="1310"/>
      <c r="F14" s="711"/>
      <c r="G14" s="259"/>
    </row>
    <row r="15" spans="1:7" ht="27" customHeight="1">
      <c r="A15" s="1308" t="s">
        <v>428</v>
      </c>
      <c r="B15" s="1309"/>
      <c r="C15" s="1309"/>
      <c r="D15" s="1309"/>
      <c r="E15" s="1310"/>
      <c r="F15" s="711"/>
      <c r="G15" s="259"/>
    </row>
    <row r="16" spans="1:7" ht="27" customHeight="1">
      <c r="A16" s="712" t="s">
        <v>1096</v>
      </c>
      <c r="B16" s="253"/>
      <c r="C16" s="253"/>
      <c r="D16" s="4" t="s">
        <v>1267</v>
      </c>
      <c r="E16" s="883">
        <v>600</v>
      </c>
      <c r="F16" s="713">
        <f>E16</f>
        <v>600</v>
      </c>
      <c r="G16" s="259"/>
    </row>
    <row r="17" spans="1:7" ht="27" customHeight="1">
      <c r="A17" s="714" t="s">
        <v>197</v>
      </c>
      <c r="B17" s="254"/>
      <c r="C17" s="254"/>
      <c r="D17" s="254" t="s">
        <v>1268</v>
      </c>
      <c r="E17" s="2">
        <v>0</v>
      </c>
      <c r="F17" s="713">
        <v>0</v>
      </c>
      <c r="G17" s="259"/>
    </row>
    <row r="18" spans="1:7" ht="27" customHeight="1">
      <c r="A18" s="1324" t="s">
        <v>429</v>
      </c>
      <c r="B18" s="1325"/>
      <c r="C18" s="1325"/>
      <c r="D18" s="1325"/>
      <c r="E18" s="1326"/>
      <c r="F18" s="713"/>
      <c r="G18" s="259"/>
    </row>
    <row r="19" spans="1:7" ht="27" customHeight="1" thickBot="1">
      <c r="A19" s="1319" t="s">
        <v>430</v>
      </c>
      <c r="B19" s="1320"/>
      <c r="C19" s="1320"/>
      <c r="D19" s="1320"/>
      <c r="E19" s="1321"/>
      <c r="F19" s="715"/>
      <c r="G19" s="259"/>
    </row>
    <row r="20" spans="1:7" s="10" customFormat="1" ht="27" customHeight="1" thickBot="1">
      <c r="A20" s="586" t="s">
        <v>1468</v>
      </c>
      <c r="B20" s="588"/>
      <c r="C20" s="706">
        <f>C13</f>
        <v>100</v>
      </c>
      <c r="D20" s="707"/>
      <c r="E20" s="708">
        <f>E16+E17</f>
        <v>600</v>
      </c>
      <c r="F20" s="709">
        <f>C20+E20</f>
        <v>700</v>
      </c>
      <c r="G20" s="378"/>
    </row>
    <row r="21" ht="27.75" customHeight="1"/>
    <row r="22" ht="27.75" customHeight="1"/>
  </sheetData>
  <sheetProtection/>
  <mergeCells count="17">
    <mergeCell ref="A19:E19"/>
    <mergeCell ref="D8:F8"/>
    <mergeCell ref="B10:B11"/>
    <mergeCell ref="C10:C11"/>
    <mergeCell ref="D10:D11"/>
    <mergeCell ref="E10:E11"/>
    <mergeCell ref="A18:E18"/>
    <mergeCell ref="E1:F1"/>
    <mergeCell ref="A12:E12"/>
    <mergeCell ref="A14:E14"/>
    <mergeCell ref="A15:E15"/>
    <mergeCell ref="A4:F4"/>
    <mergeCell ref="F9:F11"/>
    <mergeCell ref="D9:E9"/>
    <mergeCell ref="A9:A11"/>
    <mergeCell ref="B9:C9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C1">
      <selection activeCell="P16" sqref="P16"/>
    </sheetView>
  </sheetViews>
  <sheetFormatPr defaultColWidth="9.140625" defaultRowHeight="12.75"/>
  <cols>
    <col min="1" max="1" width="41.140625" style="0" customWidth="1"/>
    <col min="2" max="16" width="7.7109375" style="0" customWidth="1"/>
  </cols>
  <sheetData>
    <row r="1" spans="1:16" ht="12.75">
      <c r="A1" s="1281" t="s">
        <v>426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</row>
    <row r="4" spans="1:16" ht="12.75">
      <c r="A4" s="1214" t="s">
        <v>1499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4"/>
      <c r="P4" s="1214"/>
    </row>
    <row r="5" ht="12.75">
      <c r="A5" s="20"/>
    </row>
    <row r="6" spans="1:16" ht="33.75" customHeight="1">
      <c r="A6" s="1213" t="s">
        <v>716</v>
      </c>
      <c r="B6" s="12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</row>
    <row r="7" ht="33.75" customHeight="1">
      <c r="A7" s="44"/>
    </row>
    <row r="8" spans="1:16" ht="13.5" thickBot="1">
      <c r="A8" s="1327" t="s">
        <v>161</v>
      </c>
      <c r="B8" s="1327"/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  <c r="O8" s="1327"/>
      <c r="P8" s="1327"/>
    </row>
    <row r="9" spans="1:16" s="13" customFormat="1" ht="27" customHeight="1" thickBot="1">
      <c r="A9" s="728" t="s">
        <v>717</v>
      </c>
      <c r="B9" s="718" t="s">
        <v>1033</v>
      </c>
      <c r="C9" s="718" t="s">
        <v>800</v>
      </c>
      <c r="D9" s="718" t="s">
        <v>801</v>
      </c>
      <c r="E9" s="718" t="s">
        <v>802</v>
      </c>
      <c r="F9" s="718" t="s">
        <v>1429</v>
      </c>
      <c r="G9" s="718" t="s">
        <v>369</v>
      </c>
      <c r="H9" s="718" t="s">
        <v>370</v>
      </c>
      <c r="I9" s="718" t="s">
        <v>371</v>
      </c>
      <c r="J9" s="718" t="s">
        <v>372</v>
      </c>
      <c r="K9" s="718" t="s">
        <v>1036</v>
      </c>
      <c r="L9" s="718" t="s">
        <v>1031</v>
      </c>
      <c r="M9" s="718" t="s">
        <v>435</v>
      </c>
      <c r="N9" s="718" t="s">
        <v>436</v>
      </c>
      <c r="O9" s="719" t="s">
        <v>437</v>
      </c>
      <c r="P9" s="684" t="s">
        <v>1427</v>
      </c>
    </row>
    <row r="10" spans="1:16" s="13" customFormat="1" ht="27" customHeight="1" thickBot="1">
      <c r="A10" s="734" t="s">
        <v>785</v>
      </c>
      <c r="B10" s="639">
        <f aca="true" t="shared" si="0" ref="B10:G10">SUM(B11:B12)</f>
        <v>11925.714267716536</v>
      </c>
      <c r="C10" s="639">
        <f t="shared" si="0"/>
        <v>6695.59426696063</v>
      </c>
      <c r="D10" s="639">
        <f t="shared" si="0"/>
        <v>6963.418037639056</v>
      </c>
      <c r="E10" s="639">
        <f t="shared" si="0"/>
        <v>7241.954759144618</v>
      </c>
      <c r="F10" s="639">
        <f t="shared" si="0"/>
        <v>7531.632949510403</v>
      </c>
      <c r="G10" s="639">
        <f t="shared" si="0"/>
        <v>7832.898267490819</v>
      </c>
      <c r="H10" s="639">
        <f aca="true" t="shared" si="1" ref="H10:O10">SUM(H11:H12)</f>
        <v>0</v>
      </c>
      <c r="I10" s="639">
        <f t="shared" si="1"/>
        <v>0</v>
      </c>
      <c r="J10" s="639">
        <f t="shared" si="1"/>
        <v>0</v>
      </c>
      <c r="K10" s="639">
        <f t="shared" si="1"/>
        <v>0</v>
      </c>
      <c r="L10" s="639">
        <f t="shared" si="1"/>
        <v>0</v>
      </c>
      <c r="M10" s="639">
        <f t="shared" si="1"/>
        <v>0</v>
      </c>
      <c r="N10" s="639">
        <f t="shared" si="1"/>
        <v>0</v>
      </c>
      <c r="O10" s="639">
        <f t="shared" si="1"/>
        <v>0</v>
      </c>
      <c r="P10" s="733"/>
    </row>
    <row r="11" spans="1:16" s="13" customFormat="1" ht="15" customHeight="1">
      <c r="A11" s="727" t="s">
        <v>718</v>
      </c>
      <c r="B11" s="720">
        <f>4bm!J43</f>
        <v>6425.714267716536</v>
      </c>
      <c r="C11" s="720">
        <f>B11*1.042</f>
        <v>6695.59426696063</v>
      </c>
      <c r="D11" s="720">
        <f>C11*1.04</f>
        <v>6963.418037639056</v>
      </c>
      <c r="E11" s="720">
        <f>D11*1.04</f>
        <v>7241.954759144618</v>
      </c>
      <c r="F11" s="720">
        <f>E11*1.04</f>
        <v>7531.632949510403</v>
      </c>
      <c r="G11" s="720">
        <f>F11*1.04</f>
        <v>7832.898267490819</v>
      </c>
      <c r="H11" s="720"/>
      <c r="I11" s="720"/>
      <c r="J11" s="720"/>
      <c r="K11" s="720"/>
      <c r="L11" s="720"/>
      <c r="M11" s="720"/>
      <c r="N11" s="729"/>
      <c r="O11" s="729"/>
      <c r="P11" s="731"/>
    </row>
    <row r="12" spans="1:16" s="13" customFormat="1" ht="15" customHeight="1" thickBot="1">
      <c r="A12" s="726" t="s">
        <v>719</v>
      </c>
      <c r="B12" s="720">
        <f>4bm!J45</f>
        <v>5500</v>
      </c>
      <c r="C12" s="643"/>
      <c r="D12" s="643"/>
      <c r="E12" s="643"/>
      <c r="F12" s="643"/>
      <c r="H12" s="643"/>
      <c r="I12" s="643"/>
      <c r="J12" s="643"/>
      <c r="K12" s="643"/>
      <c r="L12" s="643"/>
      <c r="M12" s="643"/>
      <c r="N12" s="717"/>
      <c r="O12" s="717"/>
      <c r="P12" s="723"/>
    </row>
    <row r="13" spans="1:16" s="13" customFormat="1" ht="27" customHeight="1" thickBot="1">
      <c r="A13" s="734" t="s">
        <v>786</v>
      </c>
      <c r="B13" s="639">
        <f>SUM(B14:B15)</f>
        <v>15322.272</v>
      </c>
      <c r="C13" s="639">
        <f>SUM(C14:C15)</f>
        <v>15965.807424000002</v>
      </c>
      <c r="D13" s="639">
        <f aca="true" t="shared" si="2" ref="D13:P13">SUM(D14:D15)</f>
        <v>0</v>
      </c>
      <c r="E13" s="639">
        <f t="shared" si="2"/>
        <v>0</v>
      </c>
      <c r="F13" s="639">
        <f t="shared" si="2"/>
        <v>0</v>
      </c>
      <c r="G13" s="639">
        <f t="shared" si="2"/>
        <v>0</v>
      </c>
      <c r="H13" s="639">
        <f t="shared" si="2"/>
        <v>0</v>
      </c>
      <c r="I13" s="639">
        <f t="shared" si="2"/>
        <v>0</v>
      </c>
      <c r="J13" s="639">
        <f t="shared" si="2"/>
        <v>0</v>
      </c>
      <c r="K13" s="639">
        <f t="shared" si="2"/>
        <v>0</v>
      </c>
      <c r="L13" s="639">
        <f t="shared" si="2"/>
        <v>0</v>
      </c>
      <c r="M13" s="639">
        <f t="shared" si="2"/>
        <v>0</v>
      </c>
      <c r="N13" s="639">
        <f t="shared" si="2"/>
        <v>0</v>
      </c>
      <c r="O13" s="639">
        <f t="shared" si="2"/>
        <v>0</v>
      </c>
      <c r="P13" s="639">
        <f t="shared" si="2"/>
        <v>0</v>
      </c>
    </row>
    <row r="14" spans="1:16" s="13" customFormat="1" ht="15" customHeight="1">
      <c r="A14" s="727" t="s">
        <v>1126</v>
      </c>
      <c r="B14" s="853">
        <f>2am!J28</f>
        <v>15322.272</v>
      </c>
      <c r="C14" s="854">
        <f>B14*1.042</f>
        <v>15965.807424000002</v>
      </c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9"/>
      <c r="O14" s="729"/>
      <c r="P14" s="731"/>
    </row>
    <row r="15" spans="1:16" s="13" customFormat="1" ht="15" customHeight="1" thickBot="1">
      <c r="A15" s="726" t="s">
        <v>720</v>
      </c>
      <c r="B15" s="732">
        <f>2am!J29</f>
        <v>0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717"/>
      <c r="O15" s="717"/>
      <c r="P15" s="723"/>
    </row>
    <row r="16" spans="1:16" s="13" customFormat="1" ht="27" customHeight="1" thickBot="1">
      <c r="A16" s="734" t="s">
        <v>438</v>
      </c>
      <c r="B16" s="639">
        <f aca="true" t="shared" si="3" ref="B16:P16">SUM(B17:B26)</f>
        <v>13907.2</v>
      </c>
      <c r="C16" s="639">
        <f t="shared" si="3"/>
        <v>12470.8</v>
      </c>
      <c r="D16" s="639">
        <f t="shared" si="3"/>
        <v>7363.2</v>
      </c>
      <c r="E16" s="639">
        <f t="shared" si="3"/>
        <v>5368</v>
      </c>
      <c r="F16" s="639">
        <f t="shared" si="3"/>
        <v>4462.8</v>
      </c>
      <c r="G16" s="639">
        <f t="shared" si="3"/>
        <v>3994.8</v>
      </c>
      <c r="H16" s="639">
        <f t="shared" si="3"/>
        <v>3995.2000000000003</v>
      </c>
      <c r="I16" s="639">
        <f t="shared" si="3"/>
        <v>3994.8</v>
      </c>
      <c r="J16" s="639">
        <f t="shared" si="3"/>
        <v>3994.8</v>
      </c>
      <c r="K16" s="639">
        <f t="shared" si="3"/>
        <v>3561.2000000000003</v>
      </c>
      <c r="L16" s="639">
        <f t="shared" si="3"/>
        <v>996.4000000000001</v>
      </c>
      <c r="M16" s="639">
        <f t="shared" si="3"/>
        <v>996.4000000000001</v>
      </c>
      <c r="N16" s="639">
        <f t="shared" si="3"/>
        <v>996.8000000000001</v>
      </c>
      <c r="O16" s="639">
        <f t="shared" si="3"/>
        <v>996.4000000000001</v>
      </c>
      <c r="P16" s="639">
        <f t="shared" si="3"/>
        <v>771.6000000000001</v>
      </c>
    </row>
    <row r="17" spans="1:16" s="13" customFormat="1" ht="15" customHeight="1">
      <c r="A17" s="737" t="s">
        <v>53</v>
      </c>
      <c r="B17" s="720">
        <f>1040*0.4</f>
        <v>416</v>
      </c>
      <c r="C17" s="720">
        <f aca="true" t="shared" si="4" ref="C17:J17">1040*0.4</f>
        <v>416</v>
      </c>
      <c r="D17" s="720">
        <f t="shared" si="4"/>
        <v>416</v>
      </c>
      <c r="E17" s="720">
        <f t="shared" si="4"/>
        <v>416</v>
      </c>
      <c r="F17" s="720">
        <f t="shared" si="4"/>
        <v>416</v>
      </c>
      <c r="G17" s="720">
        <f t="shared" si="4"/>
        <v>416</v>
      </c>
      <c r="H17" s="720">
        <f t="shared" si="4"/>
        <v>416</v>
      </c>
      <c r="I17" s="720">
        <f t="shared" si="4"/>
        <v>416</v>
      </c>
      <c r="J17" s="720">
        <f t="shared" si="4"/>
        <v>416</v>
      </c>
      <c r="K17" s="720">
        <f>1031*0.4</f>
        <v>412.40000000000003</v>
      </c>
      <c r="L17" s="720"/>
      <c r="M17" s="720"/>
      <c r="N17" s="729"/>
      <c r="O17" s="730"/>
      <c r="P17" s="731"/>
    </row>
    <row r="18" spans="1:16" s="13" customFormat="1" ht="15" customHeight="1">
      <c r="A18" s="738" t="s">
        <v>54</v>
      </c>
      <c r="B18" s="720">
        <f>807*0.4</f>
        <v>322.8</v>
      </c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328"/>
      <c r="O18" s="721"/>
      <c r="P18" s="722"/>
    </row>
    <row r="19" spans="1:16" s="13" customFormat="1" ht="25.5">
      <c r="A19" s="738" t="s">
        <v>797</v>
      </c>
      <c r="B19" s="720">
        <f>1366*0.4</f>
        <v>546.4</v>
      </c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328"/>
      <c r="O19" s="721"/>
      <c r="P19" s="722"/>
    </row>
    <row r="20" spans="1:16" s="13" customFormat="1" ht="15" customHeight="1">
      <c r="A20" s="738" t="s">
        <v>1034</v>
      </c>
      <c r="B20" s="633">
        <f>6456*0.4</f>
        <v>2582.4</v>
      </c>
      <c r="C20" s="633">
        <f aca="true" t="shared" si="5" ref="C20:J20">6456*0.4</f>
        <v>2582.4</v>
      </c>
      <c r="D20" s="633">
        <f t="shared" si="5"/>
        <v>2582.4</v>
      </c>
      <c r="E20" s="633">
        <f t="shared" si="5"/>
        <v>2582.4</v>
      </c>
      <c r="F20" s="633">
        <f t="shared" si="5"/>
        <v>2582.4</v>
      </c>
      <c r="G20" s="633">
        <f t="shared" si="5"/>
        <v>2582.4</v>
      </c>
      <c r="H20" s="633">
        <f t="shared" si="5"/>
        <v>2582.4</v>
      </c>
      <c r="I20" s="633">
        <f t="shared" si="5"/>
        <v>2582.4</v>
      </c>
      <c r="J20" s="633">
        <f t="shared" si="5"/>
        <v>2582.4</v>
      </c>
      <c r="K20" s="720">
        <f>5380*0.4</f>
        <v>2152</v>
      </c>
      <c r="L20" s="720"/>
      <c r="M20" s="720"/>
      <c r="N20" s="328"/>
      <c r="O20" s="721"/>
      <c r="P20" s="722"/>
    </row>
    <row r="21" spans="1:16" s="13" customFormat="1" ht="25.5">
      <c r="A21" s="738" t="s">
        <v>1037</v>
      </c>
      <c r="B21" s="633">
        <f>2108*0.4</f>
        <v>843.2</v>
      </c>
      <c r="C21" s="633">
        <f>2107*0.4</f>
        <v>842.8000000000001</v>
      </c>
      <c r="D21" s="633">
        <f>2107*0.4</f>
        <v>842.8000000000001</v>
      </c>
      <c r="E21" s="633">
        <f>2108*0.4</f>
        <v>843.2</v>
      </c>
      <c r="F21" s="633">
        <f>2107*0.4</f>
        <v>842.8000000000001</v>
      </c>
      <c r="G21" s="633">
        <f>2107*0.4</f>
        <v>842.8000000000001</v>
      </c>
      <c r="H21" s="633">
        <f>2108*0.4</f>
        <v>843.2</v>
      </c>
      <c r="I21" s="633">
        <f>2107*0.4</f>
        <v>842.8000000000001</v>
      </c>
      <c r="J21" s="633">
        <f>2107*0.4</f>
        <v>842.8000000000001</v>
      </c>
      <c r="K21" s="633">
        <f>2108*0.4</f>
        <v>843.2</v>
      </c>
      <c r="L21" s="633">
        <f>2107*0.4</f>
        <v>842.8000000000001</v>
      </c>
      <c r="M21" s="633">
        <f>2107*0.4</f>
        <v>842.8000000000001</v>
      </c>
      <c r="N21" s="633">
        <f>2108*0.4</f>
        <v>843.2</v>
      </c>
      <c r="O21" s="633">
        <f>2107*0.4</f>
        <v>842.8000000000001</v>
      </c>
      <c r="P21" s="1086">
        <f>1756*0.4</f>
        <v>702.4000000000001</v>
      </c>
    </row>
    <row r="22" spans="1:16" s="13" customFormat="1" ht="51">
      <c r="A22" s="738" t="s">
        <v>416</v>
      </c>
      <c r="B22" s="633">
        <f>384*0.4</f>
        <v>153.60000000000002</v>
      </c>
      <c r="C22" s="633">
        <f aca="true" t="shared" si="6" ref="C22:O22">384*0.4</f>
        <v>153.60000000000002</v>
      </c>
      <c r="D22" s="633">
        <f t="shared" si="6"/>
        <v>153.60000000000002</v>
      </c>
      <c r="E22" s="633">
        <f t="shared" si="6"/>
        <v>153.60000000000002</v>
      </c>
      <c r="F22" s="633">
        <f t="shared" si="6"/>
        <v>153.60000000000002</v>
      </c>
      <c r="G22" s="633">
        <f t="shared" si="6"/>
        <v>153.60000000000002</v>
      </c>
      <c r="H22" s="633">
        <f t="shared" si="6"/>
        <v>153.60000000000002</v>
      </c>
      <c r="I22" s="633">
        <f t="shared" si="6"/>
        <v>153.60000000000002</v>
      </c>
      <c r="J22" s="633">
        <f t="shared" si="6"/>
        <v>153.60000000000002</v>
      </c>
      <c r="K22" s="633">
        <f t="shared" si="6"/>
        <v>153.60000000000002</v>
      </c>
      <c r="L22" s="633">
        <f t="shared" si="6"/>
        <v>153.60000000000002</v>
      </c>
      <c r="M22" s="633">
        <f t="shared" si="6"/>
        <v>153.60000000000002</v>
      </c>
      <c r="N22" s="633">
        <f t="shared" si="6"/>
        <v>153.60000000000002</v>
      </c>
      <c r="O22" s="633">
        <f t="shared" si="6"/>
        <v>153.60000000000002</v>
      </c>
      <c r="P22" s="1086">
        <f>173*0.4</f>
        <v>69.2</v>
      </c>
    </row>
    <row r="23" spans="1:16" s="13" customFormat="1" ht="15" customHeight="1">
      <c r="A23" s="738" t="s">
        <v>417</v>
      </c>
      <c r="B23" s="633">
        <f>336*0.4</f>
        <v>134.4</v>
      </c>
      <c r="C23" s="633">
        <f>336*0.4</f>
        <v>134.4</v>
      </c>
      <c r="D23" s="633">
        <f>336*0.4</f>
        <v>134.4</v>
      </c>
      <c r="E23" s="633">
        <f>336*0.4</f>
        <v>134.4</v>
      </c>
      <c r="F23" s="633">
        <f>336*0.4</f>
        <v>134.4</v>
      </c>
      <c r="G23" s="633"/>
      <c r="H23" s="633"/>
      <c r="I23" s="633"/>
      <c r="J23" s="633"/>
      <c r="K23" s="633"/>
      <c r="L23" s="633"/>
      <c r="M23" s="633"/>
      <c r="N23" s="717"/>
      <c r="O23" s="724"/>
      <c r="P23" s="723"/>
    </row>
    <row r="24" spans="1:16" s="13" customFormat="1" ht="15" customHeight="1">
      <c r="A24" s="738" t="s">
        <v>418</v>
      </c>
      <c r="B24" s="633">
        <f>3004*0.4</f>
        <v>1201.6000000000001</v>
      </c>
      <c r="C24" s="633">
        <f>3004*0.4</f>
        <v>1201.6000000000001</v>
      </c>
      <c r="D24" s="633">
        <f>3004*0.4</f>
        <v>1201.6000000000001</v>
      </c>
      <c r="E24" s="633">
        <f>2250*0.4</f>
        <v>900</v>
      </c>
      <c r="F24" s="633"/>
      <c r="G24" s="633"/>
      <c r="H24" s="633"/>
      <c r="I24" s="633"/>
      <c r="J24" s="633"/>
      <c r="K24" s="633"/>
      <c r="L24" s="633"/>
      <c r="M24" s="633"/>
      <c r="N24" s="717"/>
      <c r="O24" s="724"/>
      <c r="P24" s="723"/>
    </row>
    <row r="25" spans="1:16" s="13" customFormat="1" ht="25.5">
      <c r="A25" s="738" t="s">
        <v>419</v>
      </c>
      <c r="B25" s="633">
        <f>846*0.4</f>
        <v>338.40000000000003</v>
      </c>
      <c r="C25" s="633">
        <f>846*0.4</f>
        <v>338.40000000000003</v>
      </c>
      <c r="D25" s="633">
        <f>846*0.4</f>
        <v>338.40000000000003</v>
      </c>
      <c r="E25" s="633">
        <f>846*0.4</f>
        <v>338.40000000000003</v>
      </c>
      <c r="F25" s="633">
        <f>834*0.4</f>
        <v>333.6</v>
      </c>
      <c r="G25" s="633"/>
      <c r="H25" s="633"/>
      <c r="I25" s="633"/>
      <c r="J25" s="633"/>
      <c r="K25" s="633"/>
      <c r="L25" s="633"/>
      <c r="M25" s="633"/>
      <c r="N25" s="717"/>
      <c r="O25" s="724"/>
      <c r="P25" s="723"/>
    </row>
    <row r="26" spans="1:16" s="13" customFormat="1" ht="15" customHeight="1" thickBot="1">
      <c r="A26" s="738" t="s">
        <v>420</v>
      </c>
      <c r="B26" s="633">
        <f>18421*0.4</f>
        <v>7368.400000000001</v>
      </c>
      <c r="C26" s="633">
        <f>17004*0.4</f>
        <v>6801.6</v>
      </c>
      <c r="D26" s="633">
        <f>4235*0.4</f>
        <v>1694</v>
      </c>
      <c r="E26" s="633"/>
      <c r="F26" s="633"/>
      <c r="G26" s="633"/>
      <c r="H26" s="633"/>
      <c r="I26" s="633"/>
      <c r="J26" s="633"/>
      <c r="K26" s="633"/>
      <c r="L26" s="633"/>
      <c r="M26" s="633"/>
      <c r="N26" s="717"/>
      <c r="O26" s="724"/>
      <c r="P26" s="723"/>
    </row>
    <row r="27" spans="1:16" s="13" customFormat="1" ht="27" customHeight="1" thickBot="1">
      <c r="A27" s="667" t="s">
        <v>1468</v>
      </c>
      <c r="B27" s="725">
        <f aca="true" t="shared" si="7" ref="B27:P27">+B10+B13+B16</f>
        <v>41155.18626771653</v>
      </c>
      <c r="C27" s="725">
        <f t="shared" si="7"/>
        <v>35132.20169096063</v>
      </c>
      <c r="D27" s="725">
        <f t="shared" si="7"/>
        <v>14326.618037639055</v>
      </c>
      <c r="E27" s="725">
        <f t="shared" si="7"/>
        <v>12609.954759144617</v>
      </c>
      <c r="F27" s="725">
        <f t="shared" si="7"/>
        <v>11994.432949510403</v>
      </c>
      <c r="G27" s="725">
        <f t="shared" si="7"/>
        <v>11827.69826749082</v>
      </c>
      <c r="H27" s="725">
        <f t="shared" si="7"/>
        <v>3995.2000000000003</v>
      </c>
      <c r="I27" s="725">
        <f t="shared" si="7"/>
        <v>3994.8</v>
      </c>
      <c r="J27" s="725">
        <f t="shared" si="7"/>
        <v>3994.8</v>
      </c>
      <c r="K27" s="725">
        <f t="shared" si="7"/>
        <v>3561.2000000000003</v>
      </c>
      <c r="L27" s="725">
        <f t="shared" si="7"/>
        <v>996.4000000000001</v>
      </c>
      <c r="M27" s="725">
        <f t="shared" si="7"/>
        <v>996.4000000000001</v>
      </c>
      <c r="N27" s="725">
        <f t="shared" si="7"/>
        <v>996.8000000000001</v>
      </c>
      <c r="O27" s="725">
        <f t="shared" si="7"/>
        <v>996.4000000000001</v>
      </c>
      <c r="P27" s="725">
        <f t="shared" si="7"/>
        <v>771.6000000000001</v>
      </c>
    </row>
    <row r="33" ht="12.75">
      <c r="G33" s="23"/>
    </row>
  </sheetData>
  <sheetProtection/>
  <mergeCells count="4">
    <mergeCell ref="A6:P6"/>
    <mergeCell ref="A4:P4"/>
    <mergeCell ref="A1:P1"/>
    <mergeCell ref="A8:P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7F5F7"/>
  </sheetPr>
  <dimension ref="A1:K16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27" customHeight="1"/>
  <cols>
    <col min="1" max="1" width="61.140625" style="91" customWidth="1"/>
    <col min="2" max="2" width="13.8515625" style="91" customWidth="1"/>
    <col min="3" max="4" width="16.7109375" style="91" customWidth="1"/>
    <col min="5" max="5" width="16.8515625" style="91" customWidth="1"/>
    <col min="6" max="6" width="9.140625" style="91" customWidth="1"/>
    <col min="7" max="7" width="19.28125" style="91" customWidth="1"/>
    <col min="8" max="8" width="19.57421875" style="91" customWidth="1"/>
    <col min="9" max="9" width="16.28125" style="91" customWidth="1"/>
    <col min="10" max="10" width="17.28125" style="91" customWidth="1"/>
    <col min="11" max="11" width="18.00390625" style="91" customWidth="1"/>
    <col min="12" max="16384" width="9.140625" style="91" customWidth="1"/>
  </cols>
  <sheetData>
    <row r="1" spans="4:5" ht="27" customHeight="1">
      <c r="D1" s="1331" t="s">
        <v>551</v>
      </c>
      <c r="E1" s="1331"/>
    </row>
    <row r="2" spans="4:5" ht="27" customHeight="1">
      <c r="D2" s="246"/>
      <c r="E2" s="246"/>
    </row>
    <row r="3" spans="1:5" ht="27" customHeight="1">
      <c r="A3" s="1304" t="s">
        <v>1499</v>
      </c>
      <c r="B3" s="1332"/>
      <c r="C3" s="1332"/>
      <c r="D3" s="1332"/>
      <c r="E3" s="1332"/>
    </row>
    <row r="4" spans="1:5" ht="27" customHeight="1">
      <c r="A4" s="95"/>
      <c r="B4" s="95"/>
      <c r="C4" s="95"/>
      <c r="D4" s="95"/>
      <c r="E4" s="95"/>
    </row>
    <row r="5" spans="1:5" ht="27" customHeight="1">
      <c r="A5" s="1213" t="s">
        <v>883</v>
      </c>
      <c r="B5" s="1330"/>
      <c r="C5" s="1330"/>
      <c r="D5" s="1330"/>
      <c r="E5" s="1330"/>
    </row>
    <row r="6" spans="1:5" ht="27" customHeight="1">
      <c r="A6" s="1330"/>
      <c r="B6" s="1330"/>
      <c r="C6" s="1330"/>
      <c r="D6" s="1330"/>
      <c r="E6" s="1330"/>
    </row>
    <row r="7" spans="1:11" ht="27" customHeight="1">
      <c r="A7" s="247"/>
      <c r="B7" s="247"/>
      <c r="C7" s="247"/>
      <c r="D7" s="247"/>
      <c r="E7" s="247"/>
      <c r="K7" s="290" t="s">
        <v>1097</v>
      </c>
    </row>
    <row r="8" spans="4:11" ht="42.75" customHeight="1">
      <c r="D8" s="1329" t="s">
        <v>721</v>
      </c>
      <c r="E8" s="1329"/>
      <c r="G8" s="335"/>
      <c r="H8" s="213"/>
      <c r="I8" s="213"/>
      <c r="J8" s="213"/>
      <c r="K8" s="213"/>
    </row>
    <row r="9" spans="1:11" ht="54" customHeight="1">
      <c r="A9" s="260" t="s">
        <v>1026</v>
      </c>
      <c r="B9" s="261" t="s">
        <v>722</v>
      </c>
      <c r="C9" s="261" t="s">
        <v>869</v>
      </c>
      <c r="D9" s="261" t="s">
        <v>723</v>
      </c>
      <c r="E9" s="212" t="s">
        <v>724</v>
      </c>
      <c r="G9" s="335"/>
      <c r="H9" s="213"/>
      <c r="I9" s="213"/>
      <c r="J9" s="213"/>
      <c r="K9" s="213"/>
    </row>
    <row r="10" spans="1:11" ht="27" customHeight="1">
      <c r="A10" s="425" t="s">
        <v>866</v>
      </c>
      <c r="B10" s="570">
        <f>E10-D10-C10</f>
        <v>10780</v>
      </c>
      <c r="C10" s="570">
        <f>'Fejlesztési bevételek'!E32+'Fejlesztési bevételek'!E33</f>
        <v>20131</v>
      </c>
      <c r="D10" s="570">
        <f>'Fejlesztési bevételek'!E31</f>
        <v>71229</v>
      </c>
      <c r="E10" s="570">
        <f>4bm!J10</f>
        <v>102140</v>
      </c>
      <c r="G10" s="335"/>
      <c r="H10" s="213"/>
      <c r="I10" s="213"/>
      <c r="J10" s="213"/>
      <c r="K10" s="213"/>
    </row>
    <row r="11" spans="1:11" ht="27" customHeight="1">
      <c r="A11" s="425" t="s">
        <v>867</v>
      </c>
      <c r="B11" s="570">
        <v>0</v>
      </c>
      <c r="C11" s="570">
        <f>'Fejlesztési bevételek'!E26</f>
        <v>2995</v>
      </c>
      <c r="D11" s="570">
        <f>'Fejlesztési bevételek'!E25</f>
        <v>75524</v>
      </c>
      <c r="E11" s="570">
        <f>4bm!J11</f>
        <v>77233</v>
      </c>
      <c r="G11" s="335" t="s">
        <v>1027</v>
      </c>
      <c r="H11" s="213">
        <f>H8+H9+H10</f>
        <v>0</v>
      </c>
      <c r="I11" s="213">
        <f>H11*0.9</f>
        <v>0</v>
      </c>
      <c r="J11" s="213">
        <f>(H11-I11)*0.5</f>
        <v>0</v>
      </c>
      <c r="K11" s="213"/>
    </row>
    <row r="12" spans="1:5" ht="27" customHeight="1">
      <c r="A12" s="425" t="s">
        <v>865</v>
      </c>
      <c r="B12" s="570">
        <f>E12-D12-C12</f>
        <v>21803</v>
      </c>
      <c r="C12" s="570">
        <f>'Fejlesztési bevételek'!E29</f>
        <v>10984</v>
      </c>
      <c r="D12" s="570">
        <f>'Fejlesztési bevételek'!E28</f>
        <v>491325</v>
      </c>
      <c r="E12" s="570">
        <f>4bm!J12</f>
        <v>524112</v>
      </c>
    </row>
    <row r="13" spans="1:5" ht="27" customHeight="1">
      <c r="A13" s="425" t="s">
        <v>868</v>
      </c>
      <c r="B13" s="570">
        <f>E13-D13-C13</f>
        <v>17040</v>
      </c>
      <c r="C13" s="570">
        <f>'Fejlesztési bevételek'!E35</f>
        <v>5297</v>
      </c>
      <c r="D13" s="570">
        <f>'Fejlesztési bevételek'!E34</f>
        <v>22514</v>
      </c>
      <c r="E13" s="570">
        <f>4bm!J13</f>
        <v>44851</v>
      </c>
    </row>
    <row r="14" spans="1:5" s="90" customFormat="1" ht="27" customHeight="1">
      <c r="A14" s="686" t="s">
        <v>1468</v>
      </c>
      <c r="B14" s="687">
        <f>SUM(B10:B13)</f>
        <v>49623</v>
      </c>
      <c r="C14" s="687">
        <f>SUM(C10:C13)</f>
        <v>39407</v>
      </c>
      <c r="D14" s="687">
        <f>SUM(D10:D13)</f>
        <v>660592</v>
      </c>
      <c r="E14" s="687">
        <f>SUM(E10:E13)</f>
        <v>748336</v>
      </c>
    </row>
    <row r="16" spans="1:5" ht="48.75" customHeight="1">
      <c r="A16" s="1328"/>
      <c r="B16" s="1328"/>
      <c r="C16" s="1328"/>
      <c r="D16" s="1328"/>
      <c r="E16" s="1328"/>
    </row>
  </sheetData>
  <sheetProtection/>
  <mergeCells count="5">
    <mergeCell ref="A16:E16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zoomScalePageLayoutView="0" workbookViewId="0" topLeftCell="C10">
      <selection activeCell="P20" sqref="P20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0.8515625" style="0" customWidth="1"/>
    <col min="4" max="4" width="10.140625" style="0" customWidth="1"/>
    <col min="5" max="6" width="10.7109375" style="0" customWidth="1"/>
    <col min="7" max="7" width="10.8515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12.140625" style="0" customWidth="1"/>
    <col min="12" max="12" width="11.57421875" style="0" customWidth="1"/>
    <col min="13" max="13" width="10.421875" style="0" customWidth="1"/>
    <col min="14" max="14" width="9.28125" style="0" customWidth="1"/>
    <col min="15" max="15" width="11.28125" style="0" customWidth="1"/>
    <col min="16" max="16" width="15.57421875" style="0" customWidth="1"/>
    <col min="17" max="17" width="12.421875" style="0" customWidth="1"/>
    <col min="18" max="18" width="11.28125" style="0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076"/>
      <c r="Q1" s="865"/>
      <c r="R1" s="1105" t="s">
        <v>548</v>
      </c>
    </row>
    <row r="2" spans="1:17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"/>
      <c r="Q2" s="10"/>
    </row>
    <row r="3" spans="1:17" ht="12.75">
      <c r="A3" s="1214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8">
      <c r="A6" s="1284" t="s">
        <v>1220</v>
      </c>
      <c r="B6" s="1284"/>
      <c r="C6" s="1284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</row>
    <row r="7" spans="1:17" ht="18">
      <c r="A7" s="1284" t="s">
        <v>1535</v>
      </c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</row>
    <row r="8" spans="1:17" ht="18.7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18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8" ht="15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471" t="s">
        <v>1583</v>
      </c>
      <c r="R10" s="1472"/>
    </row>
    <row r="11" spans="1:17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</row>
    <row r="12" spans="1:18" ht="31.5" customHeight="1">
      <c r="A12" s="209"/>
      <c r="B12" s="221"/>
      <c r="C12" s="1300" t="s">
        <v>342</v>
      </c>
      <c r="D12" s="1301"/>
      <c r="E12" s="1301"/>
      <c r="F12" s="1302"/>
      <c r="G12" s="1334" t="s">
        <v>343</v>
      </c>
      <c r="H12" s="1335"/>
      <c r="I12" s="1335"/>
      <c r="J12" s="1336"/>
      <c r="K12" s="1334" t="s">
        <v>344</v>
      </c>
      <c r="L12" s="1335"/>
      <c r="M12" s="1335"/>
      <c r="N12" s="1336"/>
      <c r="O12" s="1334" t="s">
        <v>1027</v>
      </c>
      <c r="P12" s="1335"/>
      <c r="Q12" s="1335"/>
      <c r="R12" s="1336"/>
    </row>
    <row r="13" spans="1:18" ht="15.75" customHeight="1">
      <c r="A13" s="220"/>
      <c r="B13" s="221" t="s">
        <v>1026</v>
      </c>
      <c r="C13" s="1097" t="s">
        <v>1514</v>
      </c>
      <c r="D13" s="1097" t="s">
        <v>1517</v>
      </c>
      <c r="E13" s="222" t="s">
        <v>1528</v>
      </c>
      <c r="F13" s="222" t="s">
        <v>1529</v>
      </c>
      <c r="G13" s="1097" t="s">
        <v>1514</v>
      </c>
      <c r="H13" s="1097" t="s">
        <v>1517</v>
      </c>
      <c r="I13" s="222" t="s">
        <v>1528</v>
      </c>
      <c r="J13" s="222" t="s">
        <v>1529</v>
      </c>
      <c r="K13" s="1097" t="s">
        <v>1514</v>
      </c>
      <c r="L13" s="1097" t="s">
        <v>1517</v>
      </c>
      <c r="M13" s="1154" t="s">
        <v>1528</v>
      </c>
      <c r="N13" s="1154" t="s">
        <v>1529</v>
      </c>
      <c r="O13" s="1155" t="s">
        <v>1514</v>
      </c>
      <c r="P13" s="1156" t="s">
        <v>1517</v>
      </c>
      <c r="Q13" s="1157" t="s">
        <v>1528</v>
      </c>
      <c r="R13" s="45" t="s">
        <v>1529</v>
      </c>
    </row>
    <row r="14" spans="1:18" ht="15.75">
      <c r="A14" s="229"/>
      <c r="B14" s="231" t="s">
        <v>1238</v>
      </c>
      <c r="C14" s="1337"/>
      <c r="D14" s="1337"/>
      <c r="E14" s="1337"/>
      <c r="F14" s="1337"/>
      <c r="G14" s="1337"/>
      <c r="H14" s="1337"/>
      <c r="I14" s="1337"/>
      <c r="J14" s="1337"/>
      <c r="K14" s="1337"/>
      <c r="L14" s="1337"/>
      <c r="M14" s="1337"/>
      <c r="N14" s="1337"/>
      <c r="O14" s="1337"/>
      <c r="P14" s="1338"/>
      <c r="Q14" s="1159"/>
      <c r="R14" s="1129"/>
    </row>
    <row r="15" spans="1:18" ht="15.75">
      <c r="A15" s="233"/>
      <c r="B15" s="241" t="s">
        <v>1124</v>
      </c>
      <c r="C15" s="1077">
        <f aca="true" t="shared" si="0" ref="C15:E17">O15</f>
        <v>50864</v>
      </c>
      <c r="D15" s="1077">
        <f t="shared" si="0"/>
        <v>50864</v>
      </c>
      <c r="E15" s="1077">
        <f t="shared" si="0"/>
        <v>29118</v>
      </c>
      <c r="F15" s="1153">
        <f>E15/D15</f>
        <v>0.5724677571563385</v>
      </c>
      <c r="G15" s="241">
        <v>0</v>
      </c>
      <c r="H15" s="241">
        <v>0</v>
      </c>
      <c r="I15" s="241"/>
      <c r="J15" s="241"/>
      <c r="K15" s="241">
        <v>0</v>
      </c>
      <c r="L15" s="241">
        <v>0</v>
      </c>
      <c r="M15" s="241"/>
      <c r="N15" s="241"/>
      <c r="O15" s="268">
        <f>2bm!B8</f>
        <v>50864</v>
      </c>
      <c r="P15" s="268">
        <f>2bm!C8</f>
        <v>50864</v>
      </c>
      <c r="Q15" s="268">
        <f>2bm!D8</f>
        <v>29118</v>
      </c>
      <c r="R15" s="1129">
        <f>Q15/P15</f>
        <v>0.5724677571563385</v>
      </c>
    </row>
    <row r="16" spans="1:18" ht="15.75">
      <c r="A16" s="233"/>
      <c r="B16" s="241" t="s">
        <v>1239</v>
      </c>
      <c r="C16" s="1077">
        <f t="shared" si="0"/>
        <v>13672</v>
      </c>
      <c r="D16" s="1077">
        <f t="shared" si="0"/>
        <v>13672</v>
      </c>
      <c r="E16" s="1077">
        <f t="shared" si="0"/>
        <v>7224</v>
      </c>
      <c r="F16" s="1153">
        <f>E16/D16</f>
        <v>0.5283791691047396</v>
      </c>
      <c r="G16" s="241">
        <v>0</v>
      </c>
      <c r="H16" s="241">
        <v>0</v>
      </c>
      <c r="I16" s="241"/>
      <c r="J16" s="241"/>
      <c r="K16" s="241">
        <v>0</v>
      </c>
      <c r="L16" s="241">
        <v>0</v>
      </c>
      <c r="M16" s="241"/>
      <c r="N16" s="241"/>
      <c r="O16" s="268">
        <f>2bm!F8</f>
        <v>13672</v>
      </c>
      <c r="P16" s="268">
        <f>2bm!G8</f>
        <v>13672</v>
      </c>
      <c r="Q16" s="268">
        <f>2bm!H8</f>
        <v>7224</v>
      </c>
      <c r="R16" s="1129">
        <f>Q16/P16</f>
        <v>0.5283791691047396</v>
      </c>
    </row>
    <row r="17" spans="1:18" ht="15.75">
      <c r="A17" s="233"/>
      <c r="B17" s="241" t="s">
        <v>1240</v>
      </c>
      <c r="C17" s="1077">
        <f t="shared" si="0"/>
        <v>36744</v>
      </c>
      <c r="D17" s="1077">
        <f t="shared" si="0"/>
        <v>36744</v>
      </c>
      <c r="E17" s="1077">
        <f t="shared" si="0"/>
        <v>26150</v>
      </c>
      <c r="F17" s="1153">
        <f>E17/D17</f>
        <v>0.7116808186370563</v>
      </c>
      <c r="G17" s="241">
        <v>0</v>
      </c>
      <c r="H17" s="241">
        <v>0</v>
      </c>
      <c r="I17" s="241"/>
      <c r="J17" s="241"/>
      <c r="K17" s="241">
        <v>0</v>
      </c>
      <c r="L17" s="241">
        <v>0</v>
      </c>
      <c r="M17" s="241"/>
      <c r="N17" s="241"/>
      <c r="O17" s="268">
        <f>2bm!J8</f>
        <v>36744</v>
      </c>
      <c r="P17" s="268">
        <f>2bm!K8</f>
        <v>36744</v>
      </c>
      <c r="Q17" s="268">
        <f>2bm!L8</f>
        <v>26150</v>
      </c>
      <c r="R17" s="1129">
        <f>Q17/P17</f>
        <v>0.7116808186370563</v>
      </c>
    </row>
    <row r="18" spans="1:18" ht="15.75">
      <c r="A18" s="233"/>
      <c r="B18" s="241" t="s">
        <v>1399</v>
      </c>
      <c r="C18" s="241"/>
      <c r="D18" s="241"/>
      <c r="E18" s="1160">
        <f>Q18</f>
        <v>21</v>
      </c>
      <c r="F18" s="1153"/>
      <c r="G18" s="241"/>
      <c r="H18" s="241"/>
      <c r="I18" s="241"/>
      <c r="J18" s="241"/>
      <c r="K18" s="241"/>
      <c r="L18" s="241"/>
      <c r="M18" s="241"/>
      <c r="N18" s="241"/>
      <c r="O18" s="268">
        <f>2bm!N8</f>
        <v>0</v>
      </c>
      <c r="P18" s="268">
        <f>2bm!O8</f>
        <v>0</v>
      </c>
      <c r="Q18" s="268">
        <f>2bm!P8</f>
        <v>21</v>
      </c>
      <c r="R18" s="1129"/>
    </row>
    <row r="19" spans="1:18" ht="15.75">
      <c r="A19" s="233"/>
      <c r="B19" s="241" t="s">
        <v>1241</v>
      </c>
      <c r="C19" s="241"/>
      <c r="D19" s="241"/>
      <c r="E19" s="241"/>
      <c r="F19" s="1153"/>
      <c r="G19" s="241"/>
      <c r="H19" s="241"/>
      <c r="I19" s="241"/>
      <c r="J19" s="241"/>
      <c r="K19" s="241"/>
      <c r="L19" s="241"/>
      <c r="M19" s="241"/>
      <c r="N19" s="241"/>
      <c r="O19" s="268">
        <v>0</v>
      </c>
      <c r="P19" s="268">
        <v>0</v>
      </c>
      <c r="Q19" s="268">
        <v>0</v>
      </c>
      <c r="R19" s="1129"/>
    </row>
    <row r="20" spans="1:18" ht="15.75">
      <c r="A20" s="220"/>
      <c r="B20" s="223" t="s">
        <v>1540</v>
      </c>
      <c r="C20" s="1078">
        <f>O20</f>
        <v>101280</v>
      </c>
      <c r="D20" s="1078">
        <f>P20</f>
        <v>101280</v>
      </c>
      <c r="E20" s="1078">
        <f>Q20</f>
        <v>62513</v>
      </c>
      <c r="F20" s="1153">
        <f>E20/D20</f>
        <v>0.6172294628751974</v>
      </c>
      <c r="G20" s="223">
        <v>0</v>
      </c>
      <c r="H20" s="223">
        <v>0</v>
      </c>
      <c r="I20" s="223">
        <v>0</v>
      </c>
      <c r="J20" s="223"/>
      <c r="K20" s="223">
        <v>0</v>
      </c>
      <c r="L20" s="223">
        <v>0</v>
      </c>
      <c r="M20" s="223">
        <v>0</v>
      </c>
      <c r="N20" s="223"/>
      <c r="O20" s="235">
        <f>SUM(O15:O19)</f>
        <v>101280</v>
      </c>
      <c r="P20" s="235">
        <f>SUM(P15:P19)</f>
        <v>101280</v>
      </c>
      <c r="Q20" s="235">
        <f>SUM(Q15:Q19)</f>
        <v>62513</v>
      </c>
      <c r="R20" s="1129">
        <f>Q20/P20</f>
        <v>0.6172294628751974</v>
      </c>
    </row>
    <row r="21" spans="1:18" ht="15.75">
      <c r="A21" s="233"/>
      <c r="B21" s="1339"/>
      <c r="C21" s="1339"/>
      <c r="D21" s="1339"/>
      <c r="E21" s="1339"/>
      <c r="F21" s="1339"/>
      <c r="G21" s="1339"/>
      <c r="H21" s="1339"/>
      <c r="I21" s="1339"/>
      <c r="J21" s="1339"/>
      <c r="K21" s="1339"/>
      <c r="L21" s="1339"/>
      <c r="M21" s="1339"/>
      <c r="N21" s="1339"/>
      <c r="O21" s="1339"/>
      <c r="P21" s="1339"/>
      <c r="Q21" s="1077"/>
      <c r="R21" s="1129"/>
    </row>
    <row r="22" spans="1:18" ht="15.75">
      <c r="A22" s="233"/>
      <c r="B22" s="1179" t="s">
        <v>1541</v>
      </c>
      <c r="C22" s="1107">
        <v>0</v>
      </c>
      <c r="D22" s="1107">
        <v>0</v>
      </c>
      <c r="E22" s="1180">
        <v>230</v>
      </c>
      <c r="F22" s="1107"/>
      <c r="G22" s="1107"/>
      <c r="H22" s="1107"/>
      <c r="I22" s="1107"/>
      <c r="J22" s="1107"/>
      <c r="K22" s="1107"/>
      <c r="L22" s="1107"/>
      <c r="M22" s="1107"/>
      <c r="N22" s="1107"/>
      <c r="O22" s="324">
        <v>0</v>
      </c>
      <c r="P22" s="324">
        <v>0</v>
      </c>
      <c r="Q22" s="235">
        <v>230</v>
      </c>
      <c r="R22" s="1129"/>
    </row>
    <row r="23" spans="1:18" ht="15.75">
      <c r="A23" s="233"/>
      <c r="B23" s="1179" t="s">
        <v>1542</v>
      </c>
      <c r="C23" s="1107"/>
      <c r="D23" s="1107"/>
      <c r="E23" s="1180">
        <v>-1404</v>
      </c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235">
        <v>-1404</v>
      </c>
      <c r="R23" s="1129"/>
    </row>
    <row r="24" spans="1:18" ht="15.75">
      <c r="A24" s="233"/>
      <c r="B24" s="1179" t="s">
        <v>1024</v>
      </c>
      <c r="C24" s="1080">
        <f>C20+C22+C23</f>
        <v>101280</v>
      </c>
      <c r="D24" s="1080">
        <f>D20+D22+D23</f>
        <v>101280</v>
      </c>
      <c r="E24" s="1080">
        <f>E20+E22+E23</f>
        <v>61339</v>
      </c>
      <c r="F24" s="1153">
        <f>E24/D24</f>
        <v>0.6056378357030016</v>
      </c>
      <c r="G24" s="1107"/>
      <c r="H24" s="1107"/>
      <c r="I24" s="1107"/>
      <c r="J24" s="1107"/>
      <c r="K24" s="1107"/>
      <c r="L24" s="1107"/>
      <c r="M24" s="1107"/>
      <c r="N24" s="1107"/>
      <c r="O24" s="235">
        <f>O20+O22+O23</f>
        <v>101280</v>
      </c>
      <c r="P24" s="235">
        <f>P20+P22+P23</f>
        <v>101280</v>
      </c>
      <c r="Q24" s="235">
        <f>Q20+Q22+Q23</f>
        <v>61339</v>
      </c>
      <c r="R24" s="1129">
        <f>Q24/P24</f>
        <v>0.6056378357030016</v>
      </c>
    </row>
    <row r="25" spans="1:18" ht="15.75">
      <c r="A25" s="233"/>
      <c r="B25" s="1107"/>
      <c r="C25" s="1107"/>
      <c r="D25" s="1107"/>
      <c r="E25" s="1107"/>
      <c r="F25" s="1107"/>
      <c r="G25" s="1107"/>
      <c r="H25" s="1107"/>
      <c r="I25" s="1107"/>
      <c r="J25" s="1107"/>
      <c r="K25" s="1107"/>
      <c r="L25" s="1107"/>
      <c r="M25" s="1107"/>
      <c r="N25" s="1107"/>
      <c r="O25" s="1107"/>
      <c r="P25" s="1107"/>
      <c r="Q25" s="1160"/>
      <c r="R25" s="1129"/>
    </row>
    <row r="26" spans="1:18" ht="15.75">
      <c r="A26" s="233"/>
      <c r="B26" s="1333" t="s">
        <v>1243</v>
      </c>
      <c r="C26" s="1333"/>
      <c r="D26" s="1333"/>
      <c r="E26" s="1333"/>
      <c r="F26" s="1333"/>
      <c r="G26" s="1333"/>
      <c r="H26" s="1333"/>
      <c r="I26" s="1333"/>
      <c r="J26" s="1333"/>
      <c r="K26" s="1333"/>
      <c r="L26" s="1333"/>
      <c r="M26" s="1333"/>
      <c r="N26" s="1333"/>
      <c r="O26" s="1333"/>
      <c r="P26" s="1333"/>
      <c r="Q26" s="1160"/>
      <c r="R26" s="1129"/>
    </row>
    <row r="27" spans="1:18" ht="15.75">
      <c r="A27" s="233"/>
      <c r="B27" s="146" t="s">
        <v>1244</v>
      </c>
      <c r="C27" s="1079">
        <f aca="true" t="shared" si="1" ref="C27:E28">O27</f>
        <v>3246</v>
      </c>
      <c r="D27" s="1079">
        <f t="shared" si="1"/>
        <v>3246</v>
      </c>
      <c r="E27" s="1079">
        <f t="shared" si="1"/>
        <v>7458</v>
      </c>
      <c r="F27" s="1158">
        <f>E27/D27</f>
        <v>2.297597042513863</v>
      </c>
      <c r="G27" s="1079">
        <v>0</v>
      </c>
      <c r="H27" s="1079">
        <v>0</v>
      </c>
      <c r="I27" s="1079"/>
      <c r="J27" s="1079"/>
      <c r="K27" s="324">
        <v>0</v>
      </c>
      <c r="L27" s="324">
        <v>0</v>
      </c>
      <c r="M27" s="324"/>
      <c r="N27" s="324"/>
      <c r="O27" s="268">
        <f>1bm!B10</f>
        <v>3246</v>
      </c>
      <c r="P27" s="268">
        <f>1bm!C10</f>
        <v>3246</v>
      </c>
      <c r="Q27" s="268">
        <f>1bm!D10</f>
        <v>7458</v>
      </c>
      <c r="R27" s="1129">
        <f>Q27/P27</f>
        <v>2.297597042513863</v>
      </c>
    </row>
    <row r="28" spans="1:18" ht="15.75">
      <c r="A28" s="233"/>
      <c r="B28" s="241" t="s">
        <v>536</v>
      </c>
      <c r="C28" s="1077">
        <f t="shared" si="1"/>
        <v>0</v>
      </c>
      <c r="D28" s="1077">
        <f t="shared" si="1"/>
        <v>0</v>
      </c>
      <c r="E28" s="1077">
        <f t="shared" si="1"/>
        <v>1057</v>
      </c>
      <c r="F28" s="1158"/>
      <c r="G28" s="241"/>
      <c r="H28" s="241"/>
      <c r="I28" s="241"/>
      <c r="J28" s="241"/>
      <c r="K28" s="241"/>
      <c r="L28" s="241"/>
      <c r="M28" s="241"/>
      <c r="N28" s="241"/>
      <c r="O28" s="268">
        <f>1bm!N10+1bm!R10+1bm!J10</f>
        <v>0</v>
      </c>
      <c r="P28" s="268">
        <f>1bm!O10+1bm!S10+1bm!K10</f>
        <v>0</v>
      </c>
      <c r="Q28" s="268">
        <f>1bm!P10+1bm!T10+1bm!L10</f>
        <v>1057</v>
      </c>
      <c r="R28" s="1129"/>
    </row>
    <row r="29" spans="1:18" ht="15.75">
      <c r="A29" s="233"/>
      <c r="B29" s="241" t="s">
        <v>1400</v>
      </c>
      <c r="C29" s="1077">
        <f>O29-G29</f>
        <v>98034</v>
      </c>
      <c r="D29" s="1077">
        <f>P29-H29</f>
        <v>98034</v>
      </c>
      <c r="E29" s="1077">
        <f>Q29-I29</f>
        <v>50210</v>
      </c>
      <c r="F29" s="1158">
        <f aca="true" t="shared" si="2" ref="F29:F34">E29/D29</f>
        <v>0.5121692474039619</v>
      </c>
      <c r="G29" s="1077">
        <f>G27</f>
        <v>0</v>
      </c>
      <c r="H29" s="1077">
        <f>H27</f>
        <v>0</v>
      </c>
      <c r="I29" s="1077"/>
      <c r="J29" s="1077"/>
      <c r="K29" s="241">
        <v>0</v>
      </c>
      <c r="L29" s="241">
        <v>0</v>
      </c>
      <c r="M29" s="241"/>
      <c r="N29" s="241"/>
      <c r="O29" s="268">
        <f>O20-O27-O28</f>
        <v>98034</v>
      </c>
      <c r="P29" s="268">
        <f>P20-P27-P28</f>
        <v>98034</v>
      </c>
      <c r="Q29" s="268">
        <v>50210</v>
      </c>
      <c r="R29" s="1129">
        <f>Q29/P29</f>
        <v>0.5121692474039619</v>
      </c>
    </row>
    <row r="30" spans="1:18" ht="15.75">
      <c r="A30" s="233"/>
      <c r="B30" s="241" t="s">
        <v>1401</v>
      </c>
      <c r="C30" s="241"/>
      <c r="D30" s="241"/>
      <c r="E30" s="241"/>
      <c r="F30" s="1158"/>
      <c r="G30" s="241"/>
      <c r="H30" s="241"/>
      <c r="I30" s="241"/>
      <c r="J30" s="241"/>
      <c r="K30" s="241"/>
      <c r="L30" s="241"/>
      <c r="M30" s="241"/>
      <c r="N30" s="241"/>
      <c r="O30" s="268"/>
      <c r="P30" s="242"/>
      <c r="Q30" s="1160"/>
      <c r="R30" s="1129"/>
    </row>
    <row r="31" spans="1:18" ht="15.75">
      <c r="A31" s="233"/>
      <c r="B31" s="241" t="s">
        <v>1449</v>
      </c>
      <c r="C31" s="1077">
        <f aca="true" t="shared" si="3" ref="C31:E32">O31</f>
        <v>54964</v>
      </c>
      <c r="D31" s="1077">
        <f t="shared" si="3"/>
        <v>54964</v>
      </c>
      <c r="E31" s="1077">
        <f t="shared" si="3"/>
        <v>0</v>
      </c>
      <c r="F31" s="1158">
        <f t="shared" si="2"/>
        <v>0</v>
      </c>
      <c r="G31" s="241">
        <v>0</v>
      </c>
      <c r="H31" s="241">
        <v>0</v>
      </c>
      <c r="I31" s="241"/>
      <c r="J31" s="241"/>
      <c r="K31" s="241">
        <v>0</v>
      </c>
      <c r="L31" s="241">
        <v>0</v>
      </c>
      <c r="M31" s="241"/>
      <c r="N31" s="241"/>
      <c r="O31" s="268">
        <v>54964</v>
      </c>
      <c r="P31" s="268">
        <v>54964</v>
      </c>
      <c r="Q31" s="268"/>
      <c r="R31" s="1129">
        <f>Q31/P31</f>
        <v>0</v>
      </c>
    </row>
    <row r="32" spans="1:18" ht="15.75">
      <c r="A32" s="233"/>
      <c r="B32" s="241" t="s">
        <v>1221</v>
      </c>
      <c r="C32" s="1077">
        <f t="shared" si="3"/>
        <v>43070</v>
      </c>
      <c r="D32" s="1077">
        <f t="shared" si="3"/>
        <v>43070</v>
      </c>
      <c r="E32" s="1077">
        <f t="shared" si="3"/>
        <v>0</v>
      </c>
      <c r="F32" s="1158"/>
      <c r="G32" s="241"/>
      <c r="H32" s="241"/>
      <c r="I32" s="241"/>
      <c r="J32" s="241"/>
      <c r="K32" s="241"/>
      <c r="L32" s="241"/>
      <c r="M32" s="241"/>
      <c r="N32" s="241"/>
      <c r="O32" s="268">
        <f>O29-O31</f>
        <v>43070</v>
      </c>
      <c r="P32" s="268">
        <f>P29-P31</f>
        <v>43070</v>
      </c>
      <c r="Q32" s="1160"/>
      <c r="R32" s="1129"/>
    </row>
    <row r="33" spans="1:18" ht="15.75">
      <c r="A33" s="233"/>
      <c r="B33" s="241"/>
      <c r="C33" s="1077"/>
      <c r="D33" s="1077"/>
      <c r="E33" s="1077"/>
      <c r="F33" s="1158"/>
      <c r="G33" s="241">
        <v>0</v>
      </c>
      <c r="H33" s="241">
        <v>0</v>
      </c>
      <c r="I33" s="241"/>
      <c r="J33" s="241"/>
      <c r="K33" s="241">
        <v>0</v>
      </c>
      <c r="L33" s="241">
        <v>0</v>
      </c>
      <c r="M33" s="241"/>
      <c r="N33" s="241"/>
      <c r="O33" s="268"/>
      <c r="P33" s="268"/>
      <c r="Q33" s="268"/>
      <c r="R33" s="1129"/>
    </row>
    <row r="34" spans="1:18" ht="15.75">
      <c r="A34" s="220"/>
      <c r="B34" s="223" t="s">
        <v>1247</v>
      </c>
      <c r="C34" s="1078">
        <f>C29+C27+C28</f>
        <v>101280</v>
      </c>
      <c r="D34" s="1078">
        <f>D29+D27+D28</f>
        <v>101280</v>
      </c>
      <c r="E34" s="1078">
        <f>E29+E27+E28</f>
        <v>58725</v>
      </c>
      <c r="F34" s="1158">
        <f t="shared" si="2"/>
        <v>0.5798281990521327</v>
      </c>
      <c r="G34" s="1078">
        <f>G29</f>
        <v>0</v>
      </c>
      <c r="H34" s="1078">
        <f>H29</f>
        <v>0</v>
      </c>
      <c r="I34" s="1078"/>
      <c r="J34" s="1078"/>
      <c r="K34" s="223">
        <v>0</v>
      </c>
      <c r="L34" s="223">
        <v>0</v>
      </c>
      <c r="M34" s="223"/>
      <c r="N34" s="223"/>
      <c r="O34" s="235">
        <f>SUM(O27,O28,O29)</f>
        <v>101280</v>
      </c>
      <c r="P34" s="235">
        <f>SUM(P27,P28,P29)</f>
        <v>101280</v>
      </c>
      <c r="Q34" s="235">
        <f>SUM(Q27,Q28,Q29)</f>
        <v>58725</v>
      </c>
      <c r="R34" s="1129">
        <f>Q34/P34</f>
        <v>0.5798281990521327</v>
      </c>
    </row>
  </sheetData>
  <sheetProtection/>
  <mergeCells count="11">
    <mergeCell ref="Q10:R10"/>
    <mergeCell ref="B26:P26"/>
    <mergeCell ref="A3:Q3"/>
    <mergeCell ref="A6:Q6"/>
    <mergeCell ref="A7:Q7"/>
    <mergeCell ref="C12:F12"/>
    <mergeCell ref="G12:J12"/>
    <mergeCell ref="K12:N12"/>
    <mergeCell ref="O12:R12"/>
    <mergeCell ref="C14:P14"/>
    <mergeCell ref="B21:P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zoomScalePageLayoutView="0" workbookViewId="0" topLeftCell="D13">
      <selection activeCell="R2" sqref="R2"/>
    </sheetView>
  </sheetViews>
  <sheetFormatPr defaultColWidth="9.140625" defaultRowHeight="12.75"/>
  <cols>
    <col min="1" max="1" width="9.8515625" style="0" customWidth="1"/>
    <col min="2" max="2" width="32.00390625" style="0" customWidth="1"/>
    <col min="3" max="5" width="15.28125" style="0" customWidth="1"/>
    <col min="6" max="6" width="12.421875" style="0" customWidth="1"/>
    <col min="7" max="7" width="10.8515625" style="0" customWidth="1"/>
    <col min="8" max="8" width="9.28125" style="0" customWidth="1"/>
    <col min="9" max="9" width="10.7109375" style="0" customWidth="1"/>
    <col min="10" max="10" width="8.57421875" style="0" customWidth="1"/>
    <col min="11" max="11" width="11.8515625" style="0" customWidth="1"/>
    <col min="12" max="12" width="10.8515625" style="0" customWidth="1"/>
    <col min="13" max="13" width="11.00390625" style="0" customWidth="1"/>
    <col min="14" max="14" width="10.140625" style="0" customWidth="1"/>
    <col min="15" max="15" width="12.8515625" style="0" customWidth="1"/>
    <col min="16" max="16" width="11.28125" style="0" customWidth="1"/>
    <col min="17" max="17" width="11.421875" style="0" customWidth="1"/>
    <col min="18" max="18" width="10.8515625" style="0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076"/>
      <c r="Q1" s="865"/>
      <c r="R1" s="1105" t="s">
        <v>549</v>
      </c>
    </row>
    <row r="2" spans="1:17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"/>
      <c r="Q2" s="10"/>
    </row>
    <row r="3" spans="1:18" ht="12.75">
      <c r="A3" s="1214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8" ht="18">
      <c r="A6" s="1284" t="s">
        <v>884</v>
      </c>
      <c r="B6" s="1284"/>
      <c r="C6" s="1284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</row>
    <row r="7" spans="1:18" ht="18">
      <c r="A7" s="1284" t="s">
        <v>1535</v>
      </c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</row>
    <row r="8" spans="1:17" ht="18.7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18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1:17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1:17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</row>
    <row r="12" spans="1:18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P12" s="1340" t="s">
        <v>161</v>
      </c>
      <c r="Q12" s="1340"/>
      <c r="R12" s="1340"/>
    </row>
    <row r="13" spans="1:18" ht="37.5" customHeight="1">
      <c r="A13" s="209"/>
      <c r="B13" s="1098"/>
      <c r="C13" s="1300" t="s">
        <v>342</v>
      </c>
      <c r="D13" s="1301"/>
      <c r="E13" s="1301"/>
      <c r="F13" s="1302"/>
      <c r="G13" s="1334" t="s">
        <v>343</v>
      </c>
      <c r="H13" s="1335"/>
      <c r="I13" s="1335"/>
      <c r="J13" s="1336"/>
      <c r="K13" s="1334" t="s">
        <v>344</v>
      </c>
      <c r="L13" s="1335"/>
      <c r="M13" s="1335"/>
      <c r="N13" s="1336"/>
      <c r="O13" s="1334" t="s">
        <v>1027</v>
      </c>
      <c r="P13" s="1335"/>
      <c r="Q13" s="1335"/>
      <c r="R13" s="1336"/>
    </row>
    <row r="14" spans="1:18" ht="31.5" customHeight="1">
      <c r="A14" s="220"/>
      <c r="B14" s="221" t="s">
        <v>1026</v>
      </c>
      <c r="C14" s="1097" t="s">
        <v>1518</v>
      </c>
      <c r="D14" s="1097" t="s">
        <v>1517</v>
      </c>
      <c r="E14" s="1097" t="s">
        <v>1528</v>
      </c>
      <c r="F14" s="222" t="s">
        <v>1529</v>
      </c>
      <c r="G14" s="1097" t="s">
        <v>1514</v>
      </c>
      <c r="H14" s="1097" t="s">
        <v>1517</v>
      </c>
      <c r="I14" s="1097" t="s">
        <v>1528</v>
      </c>
      <c r="J14" s="222" t="s">
        <v>1529</v>
      </c>
      <c r="K14" s="1097" t="s">
        <v>1514</v>
      </c>
      <c r="L14" s="1097" t="s">
        <v>1517</v>
      </c>
      <c r="M14" s="222" t="s">
        <v>1538</v>
      </c>
      <c r="N14" s="222" t="s">
        <v>1529</v>
      </c>
      <c r="O14" s="1156" t="s">
        <v>1514</v>
      </c>
      <c r="P14" s="1161" t="s">
        <v>280</v>
      </c>
      <c r="Q14" s="240" t="s">
        <v>1528</v>
      </c>
      <c r="R14" s="396" t="s">
        <v>1529</v>
      </c>
    </row>
    <row r="15" spans="1:18" ht="15.75">
      <c r="A15" s="229"/>
      <c r="B15" s="231" t="s">
        <v>1238</v>
      </c>
      <c r="C15" s="1301"/>
      <c r="D15" s="1301"/>
      <c r="E15" s="1301"/>
      <c r="F15" s="1301"/>
      <c r="G15" s="1301"/>
      <c r="H15" s="1301"/>
      <c r="I15" s="1301"/>
      <c r="J15" s="1301"/>
      <c r="K15" s="1301"/>
      <c r="L15" s="1301"/>
      <c r="M15" s="1301"/>
      <c r="N15" s="1301"/>
      <c r="O15" s="1301"/>
      <c r="P15" s="1302"/>
      <c r="Q15" s="224"/>
      <c r="R15" s="6"/>
    </row>
    <row r="16" spans="1:18" ht="15.75">
      <c r="A16" s="233"/>
      <c r="B16" s="241" t="s">
        <v>1124</v>
      </c>
      <c r="C16" s="1077">
        <f aca="true" t="shared" si="0" ref="C16:E21">O16</f>
        <v>35525</v>
      </c>
      <c r="D16" s="1077">
        <f t="shared" si="0"/>
        <v>35525</v>
      </c>
      <c r="E16" s="1077">
        <f t="shared" si="0"/>
        <v>17493.998</v>
      </c>
      <c r="F16" s="1153">
        <f>E16/D16</f>
        <v>0.4924418859957776</v>
      </c>
      <c r="G16" s="241">
        <v>0</v>
      </c>
      <c r="H16" s="241">
        <v>0</v>
      </c>
      <c r="I16" s="241"/>
      <c r="J16" s="241"/>
      <c r="K16" s="241">
        <v>0</v>
      </c>
      <c r="L16" s="241">
        <v>0</v>
      </c>
      <c r="M16" s="241"/>
      <c r="N16" s="241"/>
      <c r="O16" s="268">
        <f>2bm!B13</f>
        <v>35525</v>
      </c>
      <c r="P16" s="268">
        <f>2bm!C13</f>
        <v>35525</v>
      </c>
      <c r="Q16" s="268">
        <f>2bm!D13</f>
        <v>17493.998</v>
      </c>
      <c r="R16" s="1129">
        <f>Q16/P16</f>
        <v>0.4924418859957776</v>
      </c>
    </row>
    <row r="17" spans="1:18" ht="15.75">
      <c r="A17" s="233"/>
      <c r="B17" s="241" t="s">
        <v>1239</v>
      </c>
      <c r="C17" s="1077">
        <f t="shared" si="0"/>
        <v>9545</v>
      </c>
      <c r="D17" s="1077">
        <f t="shared" si="0"/>
        <v>9545</v>
      </c>
      <c r="E17" s="1077">
        <f t="shared" si="0"/>
        <v>4368.512</v>
      </c>
      <c r="F17" s="1153">
        <f>E17/D17</f>
        <v>0.4576754321634363</v>
      </c>
      <c r="G17" s="241">
        <v>0</v>
      </c>
      <c r="H17" s="241">
        <v>0</v>
      </c>
      <c r="I17" s="241"/>
      <c r="J17" s="241"/>
      <c r="K17" s="241">
        <v>0</v>
      </c>
      <c r="L17" s="241">
        <v>0</v>
      </c>
      <c r="M17" s="241"/>
      <c r="N17" s="241"/>
      <c r="O17" s="268">
        <f>2bm!F13</f>
        <v>9545</v>
      </c>
      <c r="P17" s="268">
        <f>2bm!G13</f>
        <v>9545</v>
      </c>
      <c r="Q17" s="268">
        <f>2bm!H13</f>
        <v>4368.512</v>
      </c>
      <c r="R17" s="1129">
        <f aca="true" t="shared" si="1" ref="R17:R34">Q17/P17</f>
        <v>0.4576754321634363</v>
      </c>
    </row>
    <row r="18" spans="1:18" ht="15.75">
      <c r="A18" s="233"/>
      <c r="B18" s="241" t="s">
        <v>1240</v>
      </c>
      <c r="C18" s="1077">
        <f>O18</f>
        <v>32486</v>
      </c>
      <c r="D18" s="1077">
        <f>P18</f>
        <v>32486</v>
      </c>
      <c r="E18" s="1077">
        <f>Q18</f>
        <v>11701.14</v>
      </c>
      <c r="F18" s="1153">
        <f>E18/D18</f>
        <v>0.36019023579388043</v>
      </c>
      <c r="G18" s="241">
        <v>0</v>
      </c>
      <c r="H18" s="241">
        <v>0</v>
      </c>
      <c r="I18" s="241"/>
      <c r="J18" s="241"/>
      <c r="K18" s="241">
        <v>0</v>
      </c>
      <c r="L18" s="241">
        <v>0</v>
      </c>
      <c r="M18" s="241"/>
      <c r="N18" s="241"/>
      <c r="O18" s="268">
        <f>2bm!J13</f>
        <v>32486</v>
      </c>
      <c r="P18" s="268">
        <f>2bm!K13</f>
        <v>32486</v>
      </c>
      <c r="Q18" s="268">
        <f>2bm!L13</f>
        <v>11701.14</v>
      </c>
      <c r="R18" s="1129">
        <f t="shared" si="1"/>
        <v>0.36019023579388043</v>
      </c>
    </row>
    <row r="19" spans="1:18" ht="15.75">
      <c r="A19" s="233"/>
      <c r="B19" s="241" t="s">
        <v>1399</v>
      </c>
      <c r="C19" s="1077">
        <f t="shared" si="0"/>
        <v>0</v>
      </c>
      <c r="D19" s="1077">
        <f t="shared" si="0"/>
        <v>0</v>
      </c>
      <c r="E19" s="1077">
        <f t="shared" si="0"/>
        <v>0</v>
      </c>
      <c r="F19" s="1153">
        <v>0</v>
      </c>
      <c r="G19" s="241">
        <v>0</v>
      </c>
      <c r="H19" s="241">
        <v>0</v>
      </c>
      <c r="I19" s="241"/>
      <c r="J19" s="241"/>
      <c r="K19" s="241">
        <v>0</v>
      </c>
      <c r="L19" s="241">
        <v>0</v>
      </c>
      <c r="M19" s="241"/>
      <c r="N19" s="241"/>
      <c r="O19" s="268">
        <f>2bm!N13</f>
        <v>0</v>
      </c>
      <c r="P19" s="268">
        <f>2bm!O13</f>
        <v>0</v>
      </c>
      <c r="Q19" s="268">
        <f>2bm!P13</f>
        <v>0</v>
      </c>
      <c r="R19" s="1129"/>
    </row>
    <row r="20" spans="1:18" ht="15.75">
      <c r="A20" s="233"/>
      <c r="B20" s="241" t="s">
        <v>1241</v>
      </c>
      <c r="C20" s="1077">
        <f t="shared" si="0"/>
        <v>0</v>
      </c>
      <c r="D20" s="1077">
        <f t="shared" si="0"/>
        <v>0</v>
      </c>
      <c r="E20" s="1077">
        <f t="shared" si="0"/>
        <v>0</v>
      </c>
      <c r="F20" s="1153">
        <v>0</v>
      </c>
      <c r="G20" s="241">
        <v>0</v>
      </c>
      <c r="H20" s="241">
        <v>0</v>
      </c>
      <c r="I20" s="241"/>
      <c r="J20" s="241"/>
      <c r="K20" s="241">
        <v>0</v>
      </c>
      <c r="L20" s="241">
        <v>0</v>
      </c>
      <c r="M20" s="241"/>
      <c r="N20" s="241"/>
      <c r="O20" s="268">
        <f>2bm!R13+2bm!V13</f>
        <v>0</v>
      </c>
      <c r="P20" s="268">
        <f>2bm!S13+2bm!W13</f>
        <v>0</v>
      </c>
      <c r="Q20" s="268">
        <f>2bm!T13+2bm!X13</f>
        <v>0</v>
      </c>
      <c r="R20" s="1129"/>
    </row>
    <row r="21" spans="1:18" ht="15.75">
      <c r="A21" s="220"/>
      <c r="B21" s="223" t="s">
        <v>1540</v>
      </c>
      <c r="C21" s="1078">
        <f t="shared" si="0"/>
        <v>77556</v>
      </c>
      <c r="D21" s="1078">
        <f t="shared" si="0"/>
        <v>77556</v>
      </c>
      <c r="E21" s="1078">
        <f t="shared" si="0"/>
        <v>33563.649999999994</v>
      </c>
      <c r="F21" s="1187">
        <f>E21/D21</f>
        <v>0.43276664603641235</v>
      </c>
      <c r="G21" s="223">
        <v>0</v>
      </c>
      <c r="H21" s="223">
        <v>0</v>
      </c>
      <c r="I21" s="223"/>
      <c r="J21" s="223"/>
      <c r="K21" s="223">
        <v>0</v>
      </c>
      <c r="L21" s="223">
        <v>0</v>
      </c>
      <c r="M21" s="223"/>
      <c r="N21" s="223"/>
      <c r="O21" s="235">
        <f>SUM(O16:O20)</f>
        <v>77556</v>
      </c>
      <c r="P21" s="235">
        <f>SUM(P16:P20)</f>
        <v>77556</v>
      </c>
      <c r="Q21" s="235">
        <f>SUM(Q16:Q20)</f>
        <v>33563.649999999994</v>
      </c>
      <c r="R21" s="1112">
        <f t="shared" si="1"/>
        <v>0.43276664603641235</v>
      </c>
    </row>
    <row r="22" spans="1:18" ht="15.75">
      <c r="A22" s="233"/>
      <c r="B22" s="1183" t="s">
        <v>1546</v>
      </c>
      <c r="C22" s="1184"/>
      <c r="D22" s="1184"/>
      <c r="E22" s="1184"/>
      <c r="F22" s="1153"/>
      <c r="G22" s="1184"/>
      <c r="H22" s="1184"/>
      <c r="I22" s="1184"/>
      <c r="J22" s="1184"/>
      <c r="K22" s="1184"/>
      <c r="L22" s="1184"/>
      <c r="M22" s="1184"/>
      <c r="N22" s="1184"/>
      <c r="O22" s="1184">
        <v>0</v>
      </c>
      <c r="P22" s="1185">
        <v>0</v>
      </c>
      <c r="Q22" s="241">
        <v>134</v>
      </c>
      <c r="R22" s="1129">
        <v>0</v>
      </c>
    </row>
    <row r="23" spans="1:18" ht="15.75">
      <c r="A23" s="233"/>
      <c r="B23" s="1179" t="s">
        <v>1548</v>
      </c>
      <c r="C23" s="1080">
        <f>SUM(C21:C22)</f>
        <v>77556</v>
      </c>
      <c r="D23" s="1080">
        <f>SUM(D21:D22)</f>
        <v>77556</v>
      </c>
      <c r="E23" s="1080">
        <f>SUM(E21:E22)</f>
        <v>33563.649999999994</v>
      </c>
      <c r="F23" s="1186">
        <f>E23/D23</f>
        <v>0.43276664603641235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1107"/>
      <c r="N23" s="1107"/>
      <c r="O23" s="1080">
        <f>SUM(O21:O22)</f>
        <v>77556</v>
      </c>
      <c r="P23" s="1080">
        <f>SUM(P21:P22)</f>
        <v>77556</v>
      </c>
      <c r="Q23" s="1080">
        <f>SUM(Q21:Q22)</f>
        <v>33697.649999999994</v>
      </c>
      <c r="R23" s="1112">
        <f t="shared" si="1"/>
        <v>0.4344944298313476</v>
      </c>
    </row>
    <row r="24" spans="1:18" ht="15.75">
      <c r="A24" s="233"/>
      <c r="B24" s="1107"/>
      <c r="C24" s="1107"/>
      <c r="D24" s="1107"/>
      <c r="E24" s="1107"/>
      <c r="F24" s="1107"/>
      <c r="G24" s="1107"/>
      <c r="H24" s="1107"/>
      <c r="I24" s="1107"/>
      <c r="J24" s="1107"/>
      <c r="K24" s="1107"/>
      <c r="L24" s="1107"/>
      <c r="M24" s="1107"/>
      <c r="N24" s="1107"/>
      <c r="O24" s="1107"/>
      <c r="P24" s="1107"/>
      <c r="Q24" s="241"/>
      <c r="R24" s="1129"/>
    </row>
    <row r="25" spans="1:18" ht="15.75">
      <c r="A25" s="233"/>
      <c r="B25" s="1333" t="s">
        <v>1243</v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241"/>
      <c r="R25" s="1129"/>
    </row>
    <row r="26" spans="1:18" ht="15.75">
      <c r="A26" s="233"/>
      <c r="B26" s="146" t="s">
        <v>1244</v>
      </c>
      <c r="C26" s="1079">
        <f>O26</f>
        <v>27434</v>
      </c>
      <c r="D26" s="1079">
        <f>P26</f>
        <v>27434</v>
      </c>
      <c r="E26" s="1079">
        <f>Q26</f>
        <v>11355.781</v>
      </c>
      <c r="F26" s="1158">
        <f>E26/D26</f>
        <v>0.4139309251294015</v>
      </c>
      <c r="G26" s="324">
        <v>0</v>
      </c>
      <c r="H26" s="324">
        <v>0</v>
      </c>
      <c r="I26" s="324"/>
      <c r="J26" s="324"/>
      <c r="K26" s="324">
        <v>0</v>
      </c>
      <c r="L26" s="324">
        <v>0</v>
      </c>
      <c r="M26" s="324"/>
      <c r="N26" s="324"/>
      <c r="O26" s="268">
        <f>1bm!B15</f>
        <v>27434</v>
      </c>
      <c r="P26" s="268">
        <f>1bm!C15</f>
        <v>27434</v>
      </c>
      <c r="Q26" s="268">
        <f>1bm!D15</f>
        <v>11355.781</v>
      </c>
      <c r="R26" s="1129">
        <f t="shared" si="1"/>
        <v>0.4139309251294015</v>
      </c>
    </row>
    <row r="27" spans="1:18" ht="15.75">
      <c r="A27" s="233"/>
      <c r="B27" s="241" t="s">
        <v>1402</v>
      </c>
      <c r="C27" s="1079">
        <f aca="true" t="shared" si="2" ref="C27:E34">O27</f>
        <v>0</v>
      </c>
      <c r="D27" s="1079">
        <f t="shared" si="2"/>
        <v>0</v>
      </c>
      <c r="E27" s="1079">
        <f t="shared" si="2"/>
        <v>0</v>
      </c>
      <c r="F27" s="1158"/>
      <c r="G27" s="324">
        <v>0</v>
      </c>
      <c r="H27" s="324">
        <v>0</v>
      </c>
      <c r="I27" s="324"/>
      <c r="J27" s="324"/>
      <c r="K27" s="324">
        <v>0</v>
      </c>
      <c r="L27" s="324">
        <v>0</v>
      </c>
      <c r="M27" s="324"/>
      <c r="N27" s="324"/>
      <c r="O27" s="268">
        <f>1bm!N15</f>
        <v>0</v>
      </c>
      <c r="P27" s="268">
        <f>1bm!O15</f>
        <v>0</v>
      </c>
      <c r="Q27" s="268">
        <f>1bm!P15</f>
        <v>0</v>
      </c>
      <c r="R27" s="1129"/>
    </row>
    <row r="28" spans="1:18" ht="15.75">
      <c r="A28" s="233"/>
      <c r="B28" s="241" t="s">
        <v>1400</v>
      </c>
      <c r="C28" s="1079">
        <f t="shared" si="2"/>
        <v>50122</v>
      </c>
      <c r="D28" s="1079">
        <f t="shared" si="2"/>
        <v>50122</v>
      </c>
      <c r="E28" s="1079">
        <f t="shared" si="2"/>
        <v>22415</v>
      </c>
      <c r="F28" s="1158">
        <f aca="true" t="shared" si="3" ref="F28:F34">E28/D28</f>
        <v>0.4472088105023742</v>
      </c>
      <c r="G28" s="324">
        <v>0</v>
      </c>
      <c r="H28" s="324">
        <v>0</v>
      </c>
      <c r="I28" s="324"/>
      <c r="J28" s="324"/>
      <c r="K28" s="324">
        <v>0</v>
      </c>
      <c r="L28" s="324">
        <v>0</v>
      </c>
      <c r="M28" s="324"/>
      <c r="N28" s="324"/>
      <c r="O28" s="268">
        <f>O21-O26-O27</f>
        <v>50122</v>
      </c>
      <c r="P28" s="268">
        <f>P21-P26-P27</f>
        <v>50122</v>
      </c>
      <c r="Q28" s="268">
        <v>22415</v>
      </c>
      <c r="R28" s="1129">
        <f t="shared" si="1"/>
        <v>0.4472088105023742</v>
      </c>
    </row>
    <row r="29" spans="1:18" ht="15.75">
      <c r="A29" s="233"/>
      <c r="B29" s="241" t="s">
        <v>1401</v>
      </c>
      <c r="C29" s="1079"/>
      <c r="D29" s="1079"/>
      <c r="E29" s="1079"/>
      <c r="F29" s="1158"/>
      <c r="G29" s="324"/>
      <c r="H29" s="324"/>
      <c r="I29" s="324"/>
      <c r="J29" s="324"/>
      <c r="K29" s="324"/>
      <c r="L29" s="324"/>
      <c r="M29" s="324"/>
      <c r="N29" s="324"/>
      <c r="O29" s="268"/>
      <c r="P29" s="242"/>
      <c r="Q29" s="241"/>
      <c r="R29" s="1129"/>
    </row>
    <row r="30" spans="1:18" ht="15.75">
      <c r="A30" s="233"/>
      <c r="B30" s="241" t="s">
        <v>330</v>
      </c>
      <c r="C30" s="1079">
        <f t="shared" si="2"/>
        <v>9688</v>
      </c>
      <c r="D30" s="1079">
        <f t="shared" si="2"/>
        <v>9688</v>
      </c>
      <c r="E30" s="1079">
        <f t="shared" si="2"/>
        <v>0</v>
      </c>
      <c r="F30" s="1158">
        <f t="shared" si="3"/>
        <v>0</v>
      </c>
      <c r="G30" s="324">
        <v>0</v>
      </c>
      <c r="H30" s="324">
        <v>0</v>
      </c>
      <c r="I30" s="324"/>
      <c r="J30" s="324"/>
      <c r="K30" s="324">
        <v>0</v>
      </c>
      <c r="L30" s="324">
        <v>0</v>
      </c>
      <c r="M30" s="324"/>
      <c r="N30" s="324"/>
      <c r="O30" s="268">
        <v>9688</v>
      </c>
      <c r="P30" s="268">
        <v>9688</v>
      </c>
      <c r="Q30" s="268"/>
      <c r="R30" s="1129">
        <f t="shared" si="1"/>
        <v>0</v>
      </c>
    </row>
    <row r="31" spans="1:18" ht="15.75">
      <c r="A31" s="233"/>
      <c r="B31" s="241" t="s">
        <v>331</v>
      </c>
      <c r="C31" s="1079">
        <f t="shared" si="2"/>
        <v>15950</v>
      </c>
      <c r="D31" s="1079">
        <f t="shared" si="2"/>
        <v>15950</v>
      </c>
      <c r="E31" s="1079">
        <f t="shared" si="2"/>
        <v>0</v>
      </c>
      <c r="F31" s="1158">
        <f t="shared" si="3"/>
        <v>0</v>
      </c>
      <c r="G31" s="324">
        <v>0</v>
      </c>
      <c r="H31" s="324">
        <v>0</v>
      </c>
      <c r="I31" s="324"/>
      <c r="J31" s="324"/>
      <c r="K31" s="324">
        <v>0</v>
      </c>
      <c r="L31" s="324">
        <v>0</v>
      </c>
      <c r="M31" s="324"/>
      <c r="N31" s="324"/>
      <c r="O31" s="268">
        <v>15950</v>
      </c>
      <c r="P31" s="268">
        <v>15950</v>
      </c>
      <c r="Q31" s="268"/>
      <c r="R31" s="1129">
        <f t="shared" si="1"/>
        <v>0</v>
      </c>
    </row>
    <row r="32" spans="1:18" ht="15.75">
      <c r="A32" s="233"/>
      <c r="B32" s="241" t="s">
        <v>332</v>
      </c>
      <c r="C32" s="1079">
        <f t="shared" si="2"/>
        <v>4796</v>
      </c>
      <c r="D32" s="1079">
        <f t="shared" si="2"/>
        <v>4796</v>
      </c>
      <c r="E32" s="1079">
        <f t="shared" si="2"/>
        <v>0</v>
      </c>
      <c r="F32" s="1158">
        <f t="shared" si="3"/>
        <v>0</v>
      </c>
      <c r="G32" s="324">
        <v>0</v>
      </c>
      <c r="H32" s="324">
        <v>0</v>
      </c>
      <c r="I32" s="324"/>
      <c r="J32" s="324"/>
      <c r="K32" s="324">
        <v>0</v>
      </c>
      <c r="L32" s="324">
        <v>0</v>
      </c>
      <c r="M32" s="324"/>
      <c r="N32" s="324"/>
      <c r="O32" s="268">
        <v>4796</v>
      </c>
      <c r="P32" s="268">
        <v>4796</v>
      </c>
      <c r="Q32" s="268"/>
      <c r="R32" s="1129">
        <f t="shared" si="1"/>
        <v>0</v>
      </c>
    </row>
    <row r="33" spans="1:18" ht="15.75">
      <c r="A33" s="233"/>
      <c r="B33" s="241" t="s">
        <v>1219</v>
      </c>
      <c r="C33" s="1079">
        <f t="shared" si="2"/>
        <v>4941</v>
      </c>
      <c r="D33" s="1079">
        <f t="shared" si="2"/>
        <v>4941</v>
      </c>
      <c r="E33" s="1079">
        <f t="shared" si="2"/>
        <v>0</v>
      </c>
      <c r="F33" s="1158">
        <f t="shared" si="3"/>
        <v>0</v>
      </c>
      <c r="G33" s="324">
        <v>0</v>
      </c>
      <c r="H33" s="324">
        <v>0</v>
      </c>
      <c r="I33" s="324"/>
      <c r="J33" s="324"/>
      <c r="K33" s="324">
        <v>0</v>
      </c>
      <c r="L33" s="324">
        <v>0</v>
      </c>
      <c r="M33" s="324"/>
      <c r="N33" s="324"/>
      <c r="O33" s="268">
        <v>4941</v>
      </c>
      <c r="P33" s="268">
        <v>4941</v>
      </c>
      <c r="Q33" s="268"/>
      <c r="R33" s="1129">
        <f t="shared" si="1"/>
        <v>0</v>
      </c>
    </row>
    <row r="34" spans="1:18" ht="15.75">
      <c r="A34" s="220"/>
      <c r="B34" s="223" t="s">
        <v>1247</v>
      </c>
      <c r="C34" s="1080">
        <f t="shared" si="2"/>
        <v>77556</v>
      </c>
      <c r="D34" s="1080">
        <f t="shared" si="2"/>
        <v>77556</v>
      </c>
      <c r="E34" s="1080">
        <f t="shared" si="2"/>
        <v>33770.781</v>
      </c>
      <c r="F34" s="1158">
        <f t="shared" si="3"/>
        <v>0.4354373742843881</v>
      </c>
      <c r="G34" s="223">
        <v>0</v>
      </c>
      <c r="H34" s="223">
        <v>0</v>
      </c>
      <c r="I34" s="223"/>
      <c r="J34" s="223"/>
      <c r="K34" s="223">
        <v>0</v>
      </c>
      <c r="L34" s="223">
        <v>0</v>
      </c>
      <c r="M34" s="223"/>
      <c r="N34" s="223"/>
      <c r="O34" s="235">
        <f>SUM(O26,O27,O28)</f>
        <v>77556</v>
      </c>
      <c r="P34" s="235">
        <f>SUM(P26,P27,P28)</f>
        <v>77556</v>
      </c>
      <c r="Q34" s="235">
        <f>SUM(Q26,Q27,Q28)</f>
        <v>33770.781</v>
      </c>
      <c r="R34" s="1129">
        <f t="shared" si="1"/>
        <v>0.4354373742843881</v>
      </c>
    </row>
  </sheetData>
  <sheetProtection/>
  <mergeCells count="10">
    <mergeCell ref="B25:P25"/>
    <mergeCell ref="C15:P15"/>
    <mergeCell ref="A6:R6"/>
    <mergeCell ref="A3:R3"/>
    <mergeCell ref="C13:F13"/>
    <mergeCell ref="G13:J13"/>
    <mergeCell ref="K13:N13"/>
    <mergeCell ref="O13:R13"/>
    <mergeCell ref="P12:R12"/>
    <mergeCell ref="A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E1">
      <selection activeCell="Q27" sqref="Q27"/>
    </sheetView>
  </sheetViews>
  <sheetFormatPr defaultColWidth="9.140625" defaultRowHeight="12.75"/>
  <cols>
    <col min="2" max="2" width="31.8515625" style="0" customWidth="1"/>
    <col min="3" max="3" width="12.7109375" style="0" customWidth="1"/>
    <col min="4" max="4" width="10.8515625" style="0" customWidth="1"/>
    <col min="5" max="5" width="11.28125" style="0" customWidth="1"/>
    <col min="6" max="6" width="12.0039062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1.421875" style="0" customWidth="1"/>
    <col min="11" max="11" width="12.421875" style="0" customWidth="1"/>
    <col min="12" max="12" width="10.7109375" style="0" customWidth="1"/>
    <col min="13" max="13" width="12.00390625" style="0" customWidth="1"/>
    <col min="14" max="15" width="11.57421875" style="0" customWidth="1"/>
    <col min="16" max="16" width="12.28125" style="0" customWidth="1"/>
    <col min="17" max="17" width="10.28125" style="0" customWidth="1"/>
    <col min="18" max="18" width="11.421875" style="0" customWidth="1"/>
  </cols>
  <sheetData>
    <row r="1" spans="15:18" ht="12.75">
      <c r="O1" s="1217"/>
      <c r="P1" s="1217"/>
      <c r="Q1" s="1261" t="s">
        <v>550</v>
      </c>
      <c r="R1" s="1217"/>
    </row>
    <row r="3" spans="1:18" ht="12.75">
      <c r="A3" s="25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8" ht="18">
      <c r="A5" s="1284" t="s">
        <v>712</v>
      </c>
      <c r="B5" s="1284"/>
      <c r="C5" s="1284"/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</row>
    <row r="6" spans="1:18" ht="18">
      <c r="A6" s="1284" t="s">
        <v>1535</v>
      </c>
      <c r="B6" s="1284"/>
      <c r="C6" s="1284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</row>
    <row r="7" spans="1:17" ht="18.7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18.7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1:17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1303" t="s">
        <v>161</v>
      </c>
      <c r="P11" s="1303"/>
      <c r="Q11" s="209"/>
    </row>
    <row r="12" spans="1:18" ht="15.75">
      <c r="A12" s="209"/>
      <c r="B12" s="221"/>
      <c r="C12" s="1300" t="s">
        <v>342</v>
      </c>
      <c r="D12" s="1301"/>
      <c r="E12" s="1301"/>
      <c r="F12" s="1302"/>
      <c r="G12" s="1334" t="s">
        <v>343</v>
      </c>
      <c r="H12" s="1335"/>
      <c r="I12" s="1335"/>
      <c r="J12" s="1336"/>
      <c r="K12" s="1334" t="s">
        <v>344</v>
      </c>
      <c r="L12" s="1335"/>
      <c r="M12" s="1335"/>
      <c r="N12" s="1336"/>
      <c r="O12" s="1334" t="s">
        <v>1027</v>
      </c>
      <c r="P12" s="1335"/>
      <c r="Q12" s="1335"/>
      <c r="R12" s="1336"/>
    </row>
    <row r="13" spans="1:18" ht="31.5" customHeight="1">
      <c r="A13" s="220"/>
      <c r="B13" s="221" t="s">
        <v>1026</v>
      </c>
      <c r="C13" s="1097" t="s">
        <v>1518</v>
      </c>
      <c r="D13" s="1097" t="s">
        <v>1517</v>
      </c>
      <c r="E13" s="222" t="s">
        <v>1528</v>
      </c>
      <c r="F13" s="222" t="s">
        <v>1529</v>
      </c>
      <c r="G13" s="1097" t="s">
        <v>1514</v>
      </c>
      <c r="H13" s="1097" t="s">
        <v>1517</v>
      </c>
      <c r="I13" s="222" t="s">
        <v>1528</v>
      </c>
      <c r="J13" s="222" t="s">
        <v>1529</v>
      </c>
      <c r="K13" s="1097" t="s">
        <v>1514</v>
      </c>
      <c r="L13" s="1097" t="s">
        <v>1517</v>
      </c>
      <c r="M13" s="222" t="s">
        <v>1528</v>
      </c>
      <c r="N13" s="222" t="s">
        <v>1529</v>
      </c>
      <c r="O13" s="1097" t="s">
        <v>1514</v>
      </c>
      <c r="P13" s="240" t="s">
        <v>280</v>
      </c>
      <c r="Q13" s="222" t="s">
        <v>1528</v>
      </c>
      <c r="R13" s="48" t="s">
        <v>1529</v>
      </c>
    </row>
    <row r="14" spans="1:18" ht="15.75">
      <c r="A14" s="229"/>
      <c r="B14" s="231" t="s">
        <v>1238</v>
      </c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2"/>
      <c r="Q14" s="232"/>
      <c r="R14" s="1129"/>
    </row>
    <row r="15" spans="1:23" ht="15.75">
      <c r="A15" s="233"/>
      <c r="B15" s="241" t="s">
        <v>1124</v>
      </c>
      <c r="C15" s="241">
        <f>9830+6544</f>
        <v>16374</v>
      </c>
      <c r="D15" s="241">
        <f>9830+6544</f>
        <v>16374</v>
      </c>
      <c r="E15" s="1077">
        <f>2bm!D10</f>
        <v>5578.545</v>
      </c>
      <c r="F15" s="1153">
        <f>E15/D15</f>
        <v>0.34069530963722977</v>
      </c>
      <c r="G15" s="1077">
        <f aca="true" t="shared" si="0" ref="G15:H17">O15-C15</f>
        <v>3754</v>
      </c>
      <c r="H15" s="1077">
        <f t="shared" si="0"/>
        <v>3754</v>
      </c>
      <c r="I15" s="1077">
        <f>2bm!D11+2bm!D12</f>
        <v>2051.687</v>
      </c>
      <c r="J15" s="1153">
        <f>I15/H15</f>
        <v>0.5465335641981885</v>
      </c>
      <c r="K15" s="241"/>
      <c r="L15" s="241"/>
      <c r="M15" s="241"/>
      <c r="N15" s="241"/>
      <c r="O15" s="268">
        <f>2bm!B9</f>
        <v>20128</v>
      </c>
      <c r="P15" s="268">
        <f>2bm!C9</f>
        <v>20128</v>
      </c>
      <c r="Q15" s="268">
        <f>2bm!D9</f>
        <v>7630.232</v>
      </c>
      <c r="R15" s="1129">
        <f>Q15/P15</f>
        <v>0.37908545310015895</v>
      </c>
      <c r="S15">
        <v>2054</v>
      </c>
      <c r="T15">
        <v>9830</v>
      </c>
      <c r="U15">
        <v>1700</v>
      </c>
      <c r="V15">
        <v>6544</v>
      </c>
      <c r="W15">
        <f>SUM(S15:V15)</f>
        <v>20128</v>
      </c>
    </row>
    <row r="16" spans="1:23" ht="15.75">
      <c r="A16" s="233"/>
      <c r="B16" s="241" t="s">
        <v>1239</v>
      </c>
      <c r="C16" s="241">
        <f>2618+1672</f>
        <v>4290</v>
      </c>
      <c r="D16" s="241">
        <f>2618+1672</f>
        <v>4290</v>
      </c>
      <c r="E16" s="1077">
        <f>2bm!H10</f>
        <v>1324.096</v>
      </c>
      <c r="F16" s="1153">
        <f aca="true" t="shared" si="1" ref="F16:F23">E16/D16</f>
        <v>0.30864708624708626</v>
      </c>
      <c r="G16" s="1077">
        <f t="shared" si="0"/>
        <v>890</v>
      </c>
      <c r="H16" s="1077">
        <f t="shared" si="0"/>
        <v>890</v>
      </c>
      <c r="I16" s="1077">
        <f>2bm!H11+2bm!H12</f>
        <v>417.979</v>
      </c>
      <c r="J16" s="1153">
        <f aca="true" t="shared" si="2" ref="J16:J23">I16/H16</f>
        <v>0.46963932584269663</v>
      </c>
      <c r="K16" s="241"/>
      <c r="L16" s="241"/>
      <c r="M16" s="241"/>
      <c r="N16" s="241"/>
      <c r="O16" s="268">
        <f>2bm!F9</f>
        <v>5180</v>
      </c>
      <c r="P16" s="268">
        <f>2bm!G9</f>
        <v>5180</v>
      </c>
      <c r="Q16" s="268">
        <f>2bm!H9</f>
        <v>1742.0749999999998</v>
      </c>
      <c r="R16" s="1129">
        <f aca="true" t="shared" si="3" ref="R16:R34">Q16/P16</f>
        <v>0.336307915057915</v>
      </c>
      <c r="S16">
        <v>466</v>
      </c>
      <c r="T16">
        <v>2618</v>
      </c>
      <c r="U16">
        <v>424</v>
      </c>
      <c r="V16">
        <v>1672</v>
      </c>
      <c r="W16">
        <f>SUM(S16:V16)</f>
        <v>5180</v>
      </c>
    </row>
    <row r="17" spans="1:23" ht="15.75">
      <c r="A17" s="233"/>
      <c r="B17" s="241" t="s">
        <v>1240</v>
      </c>
      <c r="C17" s="241">
        <f>4969-3681</f>
        <v>1288</v>
      </c>
      <c r="D17" s="241">
        <f>4969-3681</f>
        <v>1288</v>
      </c>
      <c r="E17" s="1077">
        <f>2bm!L10</f>
        <v>4288.369</v>
      </c>
      <c r="F17" s="1153">
        <f t="shared" si="1"/>
        <v>3.3294790372670806</v>
      </c>
      <c r="G17" s="1077">
        <f t="shared" si="0"/>
        <v>10546</v>
      </c>
      <c r="H17" s="1077">
        <f t="shared" si="0"/>
        <v>10546</v>
      </c>
      <c r="I17" s="1077">
        <f>2bm!L11+2bm!L12</f>
        <v>1349.906</v>
      </c>
      <c r="J17" s="1153">
        <f t="shared" si="2"/>
        <v>0.12800170680826853</v>
      </c>
      <c r="K17" s="241"/>
      <c r="L17" s="241"/>
      <c r="M17" s="241"/>
      <c r="N17" s="241"/>
      <c r="O17" s="268">
        <f>2bm!J9</f>
        <v>11834</v>
      </c>
      <c r="P17" s="268">
        <f>2bm!K9</f>
        <v>11834</v>
      </c>
      <c r="Q17" s="268">
        <f>2bm!L9</f>
        <v>5638.275</v>
      </c>
      <c r="R17" s="1129">
        <f t="shared" si="3"/>
        <v>0.4764471015717424</v>
      </c>
      <c r="S17">
        <v>2755</v>
      </c>
      <c r="T17">
        <v>5535</v>
      </c>
      <c r="U17">
        <v>576</v>
      </c>
      <c r="V17">
        <v>3681</v>
      </c>
      <c r="W17">
        <f>SUM(S17:V17)</f>
        <v>12547</v>
      </c>
    </row>
    <row r="18" spans="1:23" ht="15.75">
      <c r="A18" s="233"/>
      <c r="B18" s="241" t="s">
        <v>1399</v>
      </c>
      <c r="C18" s="241"/>
      <c r="D18" s="241"/>
      <c r="E18" s="241"/>
      <c r="F18" s="1153"/>
      <c r="G18" s="241"/>
      <c r="H18" s="241"/>
      <c r="I18" s="241"/>
      <c r="J18" s="1153"/>
      <c r="K18" s="241"/>
      <c r="L18" s="241"/>
      <c r="M18" s="241"/>
      <c r="N18" s="241"/>
      <c r="O18" s="268">
        <v>0</v>
      </c>
      <c r="P18" s="268">
        <v>0</v>
      </c>
      <c r="Q18" s="268">
        <v>0</v>
      </c>
      <c r="R18" s="1129"/>
      <c r="V18">
        <f>SUM(V15:V17)</f>
        <v>11897</v>
      </c>
      <c r="W18">
        <f>SUM(W15:W17)</f>
        <v>37855</v>
      </c>
    </row>
    <row r="19" spans="1:18" ht="15.75">
      <c r="A19" s="233"/>
      <c r="B19" s="241" t="s">
        <v>1543</v>
      </c>
      <c r="C19" s="241"/>
      <c r="D19" s="241"/>
      <c r="E19" s="1077">
        <f>Q19</f>
        <v>250</v>
      </c>
      <c r="F19" s="1153"/>
      <c r="G19" s="241"/>
      <c r="H19" s="241"/>
      <c r="I19" s="241"/>
      <c r="J19" s="1153"/>
      <c r="K19" s="241"/>
      <c r="L19" s="241"/>
      <c r="M19" s="241"/>
      <c r="N19" s="241"/>
      <c r="O19" s="268">
        <v>0</v>
      </c>
      <c r="P19" s="268">
        <v>0</v>
      </c>
      <c r="Q19" s="268">
        <f>2bm!X9</f>
        <v>250</v>
      </c>
      <c r="R19" s="1129"/>
    </row>
    <row r="20" spans="1:18" ht="15.75">
      <c r="A20" s="233"/>
      <c r="B20" s="223" t="s">
        <v>1544</v>
      </c>
      <c r="C20" s="241">
        <f>SUM(C15:C19)</f>
        <v>21952</v>
      </c>
      <c r="D20" s="241">
        <f>SUM(D15:D19)</f>
        <v>21952</v>
      </c>
      <c r="E20" s="1077">
        <f>SUM(E15:E19)</f>
        <v>11441.009999999998</v>
      </c>
      <c r="F20" s="1153">
        <f t="shared" si="1"/>
        <v>0.5211830357142856</v>
      </c>
      <c r="G20" s="1077">
        <f>SUM(G15:G19)</f>
        <v>15190</v>
      </c>
      <c r="H20" s="1077">
        <f>SUM(H15:H19)</f>
        <v>15190</v>
      </c>
      <c r="I20" s="1077">
        <f>SUM(I15:I19)</f>
        <v>3819.5719999999997</v>
      </c>
      <c r="J20" s="1153">
        <f t="shared" si="2"/>
        <v>0.2514530612244898</v>
      </c>
      <c r="K20" s="241"/>
      <c r="L20" s="241"/>
      <c r="M20" s="241"/>
      <c r="N20" s="241"/>
      <c r="O20" s="268">
        <f>SUM(O15:O19)</f>
        <v>37142</v>
      </c>
      <c r="P20" s="268">
        <f>SUM(P15:P19)</f>
        <v>37142</v>
      </c>
      <c r="Q20" s="268">
        <f>SUM(Q15:Q19)</f>
        <v>15260.582</v>
      </c>
      <c r="R20" s="1129">
        <f t="shared" si="3"/>
        <v>0.4108713047224167</v>
      </c>
    </row>
    <row r="21" spans="1:18" ht="15.75">
      <c r="A21" s="233"/>
      <c r="B21" s="223" t="s">
        <v>1545</v>
      </c>
      <c r="C21" s="241">
        <v>5000</v>
      </c>
      <c r="D21" s="241">
        <v>5000</v>
      </c>
      <c r="E21" s="1077">
        <f>Q21</f>
        <v>1894.992</v>
      </c>
      <c r="F21" s="1153">
        <f t="shared" si="1"/>
        <v>0.3789984</v>
      </c>
      <c r="G21" s="241">
        <v>0</v>
      </c>
      <c r="H21" s="241">
        <v>0</v>
      </c>
      <c r="I21" s="241">
        <v>0</v>
      </c>
      <c r="J21" s="1153">
        <v>0</v>
      </c>
      <c r="K21" s="241"/>
      <c r="L21" s="241"/>
      <c r="M21" s="241"/>
      <c r="N21" s="241"/>
      <c r="O21" s="268">
        <v>5000</v>
      </c>
      <c r="P21" s="268">
        <v>5000</v>
      </c>
      <c r="Q21" s="268">
        <v>1894.992</v>
      </c>
      <c r="R21" s="1129">
        <f t="shared" si="3"/>
        <v>0.3789984</v>
      </c>
    </row>
    <row r="22" spans="1:18" ht="15.75">
      <c r="A22" s="233"/>
      <c r="B22" s="223" t="s">
        <v>1546</v>
      </c>
      <c r="C22" s="241">
        <v>0</v>
      </c>
      <c r="D22" s="241">
        <v>0</v>
      </c>
      <c r="E22" s="241">
        <v>0</v>
      </c>
      <c r="F22" s="1153">
        <v>0</v>
      </c>
      <c r="G22" s="241">
        <v>0</v>
      </c>
      <c r="H22" s="241">
        <v>0</v>
      </c>
      <c r="I22" s="241">
        <v>0</v>
      </c>
      <c r="J22" s="1153">
        <v>0</v>
      </c>
      <c r="K22" s="241"/>
      <c r="L22" s="241"/>
      <c r="M22" s="241"/>
      <c r="N22" s="241"/>
      <c r="O22" s="268">
        <v>0</v>
      </c>
      <c r="P22" s="268">
        <v>0</v>
      </c>
      <c r="Q22" s="268">
        <v>1517.748</v>
      </c>
      <c r="R22" s="1129"/>
    </row>
    <row r="23" spans="1:18" ht="15.75">
      <c r="A23" s="220"/>
      <c r="B23" s="223" t="s">
        <v>1242</v>
      </c>
      <c r="C23" s="1078">
        <f>C20+C21</f>
        <v>26952</v>
      </c>
      <c r="D23" s="1078">
        <f>D20+D21</f>
        <v>26952</v>
      </c>
      <c r="E23" s="1078">
        <f>E20+E21</f>
        <v>13336.001999999999</v>
      </c>
      <c r="F23" s="1153">
        <f t="shared" si="1"/>
        <v>0.4948056544968833</v>
      </c>
      <c r="G23" s="1078">
        <f>G20+G21</f>
        <v>15190</v>
      </c>
      <c r="H23" s="1078">
        <f>H20+H21</f>
        <v>15190</v>
      </c>
      <c r="I23" s="1078">
        <f>I20+I21</f>
        <v>3819.5719999999997</v>
      </c>
      <c r="J23" s="1153">
        <f t="shared" si="2"/>
        <v>0.2514530612244898</v>
      </c>
      <c r="K23" s="223"/>
      <c r="L23" s="223"/>
      <c r="M23" s="223"/>
      <c r="N23" s="223"/>
      <c r="O23" s="235">
        <f>SUM(O20:O22)</f>
        <v>42142</v>
      </c>
      <c r="P23" s="235">
        <f>SUM(P20:P22)</f>
        <v>42142</v>
      </c>
      <c r="Q23" s="235">
        <f>SUM(Q20:Q22)</f>
        <v>18673.322</v>
      </c>
      <c r="R23" s="1129">
        <f t="shared" si="3"/>
        <v>0.44310478857197094</v>
      </c>
    </row>
    <row r="24" spans="1:18" ht="15.75">
      <c r="A24" s="233"/>
      <c r="B24" s="1339"/>
      <c r="C24" s="1339"/>
      <c r="D24" s="1339"/>
      <c r="E24" s="1339"/>
      <c r="F24" s="1339"/>
      <c r="G24" s="1339"/>
      <c r="H24" s="1339"/>
      <c r="I24" s="1339"/>
      <c r="J24" s="1339"/>
      <c r="K24" s="1339"/>
      <c r="L24" s="1339"/>
      <c r="M24" s="1339"/>
      <c r="N24" s="1339"/>
      <c r="O24" s="1339"/>
      <c r="P24" s="1339"/>
      <c r="Q24" s="241"/>
      <c r="R24" s="1129"/>
    </row>
    <row r="25" spans="1:18" ht="15.75">
      <c r="A25" s="233"/>
      <c r="B25" s="1333" t="s">
        <v>1243</v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241"/>
      <c r="R25" s="1129"/>
    </row>
    <row r="26" spans="1:18" ht="15.75">
      <c r="A26" s="233"/>
      <c r="B26" s="146" t="s">
        <v>55</v>
      </c>
      <c r="C26" s="324">
        <v>1000</v>
      </c>
      <c r="D26" s="324">
        <v>1000</v>
      </c>
      <c r="E26" s="1079">
        <f>1bm!D12</f>
        <v>244</v>
      </c>
      <c r="F26" s="1158">
        <f>E26/D26</f>
        <v>0.244</v>
      </c>
      <c r="G26" s="324">
        <v>100</v>
      </c>
      <c r="H26" s="324">
        <v>100</v>
      </c>
      <c r="I26" s="1079">
        <f>1bm!D13+1bm!D14</f>
        <v>0</v>
      </c>
      <c r="J26" s="1158">
        <f>I26/H26</f>
        <v>0</v>
      </c>
      <c r="K26" s="146"/>
      <c r="L26" s="146"/>
      <c r="M26" s="146"/>
      <c r="N26" s="146"/>
      <c r="O26" s="268">
        <f>1bm!B11</f>
        <v>1100</v>
      </c>
      <c r="P26" s="268">
        <f>1bm!C11</f>
        <v>1100</v>
      </c>
      <c r="Q26" s="268">
        <f>1bm!D11</f>
        <v>244</v>
      </c>
      <c r="R26" s="1129">
        <f t="shared" si="3"/>
        <v>0.22181818181818183</v>
      </c>
    </row>
    <row r="27" spans="1:18" ht="15.75">
      <c r="A27" s="233"/>
      <c r="B27" s="241" t="s">
        <v>1402</v>
      </c>
      <c r="C27" s="241">
        <v>10447</v>
      </c>
      <c r="D27" s="241">
        <v>10447</v>
      </c>
      <c r="E27" s="1077"/>
      <c r="F27" s="1158">
        <f aca="true" t="shared" si="4" ref="F27:F34">E27/D27</f>
        <v>0</v>
      </c>
      <c r="G27" s="1077">
        <f>O27-C27</f>
        <v>2700</v>
      </c>
      <c r="H27" s="1077">
        <f>P27-D27</f>
        <v>2700</v>
      </c>
      <c r="I27" s="1077">
        <f>1bm!P13</f>
        <v>0</v>
      </c>
      <c r="J27" s="1158">
        <f aca="true" t="shared" si="5" ref="J27:J34">I27/H27</f>
        <v>0</v>
      </c>
      <c r="K27" s="241"/>
      <c r="L27" s="241"/>
      <c r="M27" s="241"/>
      <c r="N27" s="241"/>
      <c r="O27" s="268">
        <f>1bm!N11</f>
        <v>13147</v>
      </c>
      <c r="P27" s="268">
        <f>1bm!O11</f>
        <v>13147</v>
      </c>
      <c r="Q27" s="268">
        <f>1bm!P11-4270</f>
        <v>348.9940000000006</v>
      </c>
      <c r="R27" s="1129">
        <f t="shared" si="3"/>
        <v>0.026545523693618362</v>
      </c>
    </row>
    <row r="28" spans="1:18" ht="15.75">
      <c r="A28" s="233"/>
      <c r="B28" s="241" t="s">
        <v>837</v>
      </c>
      <c r="C28" s="241">
        <v>4729</v>
      </c>
      <c r="D28" s="241">
        <v>4729</v>
      </c>
      <c r="E28" s="1077">
        <f>1bm!P12</f>
        <v>4269.805</v>
      </c>
      <c r="F28" s="1158">
        <f t="shared" si="4"/>
        <v>0.9028980757031085</v>
      </c>
      <c r="G28" s="241">
        <v>0</v>
      </c>
      <c r="H28" s="241">
        <v>0</v>
      </c>
      <c r="I28" s="241"/>
      <c r="J28" s="1158"/>
      <c r="K28" s="241"/>
      <c r="L28" s="241"/>
      <c r="M28" s="241"/>
      <c r="N28" s="241"/>
      <c r="O28" s="268">
        <v>4729</v>
      </c>
      <c r="P28" s="268">
        <v>4729</v>
      </c>
      <c r="Q28" s="268">
        <v>4270</v>
      </c>
      <c r="R28" s="1129">
        <f t="shared" si="3"/>
        <v>0.9029393106364982</v>
      </c>
    </row>
    <row r="29" spans="1:18" ht="15.75">
      <c r="A29" s="233"/>
      <c r="B29" s="241" t="s">
        <v>836</v>
      </c>
      <c r="C29" s="241">
        <v>1450</v>
      </c>
      <c r="D29" s="241">
        <v>1450</v>
      </c>
      <c r="E29" s="241">
        <v>0</v>
      </c>
      <c r="F29" s="1158">
        <f t="shared" si="4"/>
        <v>0</v>
      </c>
      <c r="G29" s="241">
        <v>0</v>
      </c>
      <c r="H29" s="241">
        <v>0</v>
      </c>
      <c r="I29" s="241"/>
      <c r="J29" s="1158"/>
      <c r="K29" s="241"/>
      <c r="L29" s="241"/>
      <c r="M29" s="241"/>
      <c r="N29" s="241"/>
      <c r="O29" s="268">
        <v>1450</v>
      </c>
      <c r="P29" s="268">
        <v>1450</v>
      </c>
      <c r="Q29" s="241"/>
      <c r="R29" s="1129">
        <f t="shared" si="3"/>
        <v>0</v>
      </c>
    </row>
    <row r="30" spans="1:18" ht="15.75">
      <c r="A30" s="233"/>
      <c r="B30" s="241" t="s">
        <v>835</v>
      </c>
      <c r="C30" s="241"/>
      <c r="D30" s="241"/>
      <c r="E30" s="241"/>
      <c r="F30" s="1158"/>
      <c r="G30" s="241">
        <v>270</v>
      </c>
      <c r="H30" s="241">
        <v>270</v>
      </c>
      <c r="I30" s="241"/>
      <c r="J30" s="1158">
        <f t="shared" si="5"/>
        <v>0</v>
      </c>
      <c r="K30" s="241"/>
      <c r="L30" s="241"/>
      <c r="M30" s="241"/>
      <c r="N30" s="241"/>
      <c r="O30" s="268">
        <v>270</v>
      </c>
      <c r="P30" s="268">
        <v>270</v>
      </c>
      <c r="Q30" s="241"/>
      <c r="R30" s="1129">
        <f t="shared" si="3"/>
        <v>0</v>
      </c>
    </row>
    <row r="31" spans="1:18" ht="15.75">
      <c r="A31" s="233"/>
      <c r="B31" s="241" t="s">
        <v>1400</v>
      </c>
      <c r="C31" s="223">
        <f>C23-C26-C27-C28-C29</f>
        <v>9326</v>
      </c>
      <c r="D31" s="223">
        <f>D23-D26-D27-D28-D29</f>
        <v>9326</v>
      </c>
      <c r="E31" s="1078">
        <f>Q31-I31</f>
        <v>6287.619000000001</v>
      </c>
      <c r="F31" s="1158">
        <f t="shared" si="4"/>
        <v>0.674203195367789</v>
      </c>
      <c r="G31" s="223">
        <f>G23-G26-G27-G28-G29-G30</f>
        <v>12120</v>
      </c>
      <c r="H31" s="1078">
        <f>H23-H26-H27-H28-H29-H30</f>
        <v>12120</v>
      </c>
      <c r="I31" s="1078">
        <f>I20-I27</f>
        <v>3819.5719999999997</v>
      </c>
      <c r="J31" s="1158">
        <f t="shared" si="5"/>
        <v>0.315146204620462</v>
      </c>
      <c r="K31" s="241"/>
      <c r="L31" s="241"/>
      <c r="M31" s="241"/>
      <c r="N31" s="241"/>
      <c r="O31" s="235">
        <f>O23-O26-O27-O28-O29-O30</f>
        <v>21446</v>
      </c>
      <c r="P31" s="235">
        <f>P23-P26-P27-P28-P29-P30</f>
        <v>21446</v>
      </c>
      <c r="Q31" s="235">
        <v>10107.191</v>
      </c>
      <c r="R31" s="1129">
        <f t="shared" si="3"/>
        <v>0.47128560104448386</v>
      </c>
    </row>
    <row r="32" spans="1:18" ht="15.75">
      <c r="A32" s="233"/>
      <c r="B32" s="241" t="s">
        <v>345</v>
      </c>
      <c r="C32" s="241">
        <v>6102</v>
      </c>
      <c r="D32" s="241">
        <v>6102</v>
      </c>
      <c r="E32" s="241"/>
      <c r="F32" s="1158">
        <f t="shared" si="4"/>
        <v>0</v>
      </c>
      <c r="G32" s="241"/>
      <c r="H32" s="241"/>
      <c r="I32" s="241"/>
      <c r="J32" s="1158"/>
      <c r="K32" s="241"/>
      <c r="L32" s="241"/>
      <c r="M32" s="241"/>
      <c r="N32" s="241"/>
      <c r="O32" s="268">
        <f>'841901-Önk saját bevételei'!E66</f>
        <v>6102</v>
      </c>
      <c r="P32" s="268">
        <f>O32</f>
        <v>6102</v>
      </c>
      <c r="Q32" s="1107"/>
      <c r="R32" s="1129">
        <f t="shared" si="3"/>
        <v>0</v>
      </c>
    </row>
    <row r="33" spans="1:18" ht="15.75">
      <c r="A33" s="233"/>
      <c r="B33" s="223" t="s">
        <v>1547</v>
      </c>
      <c r="C33" s="241">
        <v>0</v>
      </c>
      <c r="D33" s="241">
        <v>0</v>
      </c>
      <c r="E33" s="241"/>
      <c r="F33" s="1158">
        <v>0</v>
      </c>
      <c r="G33" s="241">
        <v>0</v>
      </c>
      <c r="H33" s="241">
        <v>0</v>
      </c>
      <c r="I33" s="241">
        <v>0</v>
      </c>
      <c r="J33" s="1158">
        <v>0</v>
      </c>
      <c r="K33" s="241"/>
      <c r="L33" s="241"/>
      <c r="M33" s="241"/>
      <c r="N33" s="241"/>
      <c r="O33" s="268">
        <v>0</v>
      </c>
      <c r="P33" s="268">
        <v>0</v>
      </c>
      <c r="Q33" s="235">
        <v>3250</v>
      </c>
      <c r="R33" s="1129"/>
    </row>
    <row r="34" spans="1:18" ht="15.75">
      <c r="A34" s="220"/>
      <c r="B34" s="223" t="s">
        <v>1247</v>
      </c>
      <c r="C34" s="1078">
        <f>C26+C31+C27+C28+C29</f>
        <v>26952</v>
      </c>
      <c r="D34" s="1078">
        <f>D26+D31+D27+D28+D29</f>
        <v>26952</v>
      </c>
      <c r="E34" s="1078">
        <f>SUM(E26:E33)</f>
        <v>10801.424</v>
      </c>
      <c r="F34" s="1158">
        <f t="shared" si="4"/>
        <v>0.4007652122291481</v>
      </c>
      <c r="G34" s="223">
        <f>SUM(G26:G31)</f>
        <v>15190</v>
      </c>
      <c r="H34" s="223">
        <f>SUM(H26:H31)</f>
        <v>15190</v>
      </c>
      <c r="I34" s="1078">
        <f>SUM(I26:I33)</f>
        <v>3819.5719999999997</v>
      </c>
      <c r="J34" s="1158">
        <f t="shared" si="5"/>
        <v>0.2514530612244898</v>
      </c>
      <c r="K34" s="223"/>
      <c r="L34" s="223"/>
      <c r="M34" s="223"/>
      <c r="N34" s="223"/>
      <c r="O34" s="235">
        <f>SUM(O26:O31)</f>
        <v>42142</v>
      </c>
      <c r="P34" s="235">
        <f>SUM(P26:P31)</f>
        <v>42142</v>
      </c>
      <c r="Q34" s="235">
        <f>SUM(Q26:Q33)</f>
        <v>18220.185</v>
      </c>
      <c r="R34" s="1129">
        <f t="shared" si="3"/>
        <v>0.4323521664847421</v>
      </c>
    </row>
  </sheetData>
  <sheetProtection/>
  <mergeCells count="13">
    <mergeCell ref="C14:P14"/>
    <mergeCell ref="B24:P24"/>
    <mergeCell ref="B25:P25"/>
    <mergeCell ref="C12:F12"/>
    <mergeCell ref="G12:J12"/>
    <mergeCell ref="O12:R12"/>
    <mergeCell ref="K12:N12"/>
    <mergeCell ref="Q1:R1"/>
    <mergeCell ref="O11:P11"/>
    <mergeCell ref="O1:P1"/>
    <mergeCell ref="A6:R6"/>
    <mergeCell ref="A5:R5"/>
    <mergeCell ref="B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55"/>
  <sheetViews>
    <sheetView view="pageBreakPreview" zoomScale="80" zoomScaleNormal="90" zoomScaleSheetLayoutView="80" zoomScalePageLayoutView="0" workbookViewId="0" topLeftCell="H1">
      <selection activeCell="AD3" sqref="AD3"/>
    </sheetView>
  </sheetViews>
  <sheetFormatPr defaultColWidth="9.140625" defaultRowHeight="12.75"/>
  <cols>
    <col min="1" max="1" width="50.8515625" style="0" customWidth="1"/>
    <col min="2" max="2" width="15.00390625" style="0" customWidth="1"/>
    <col min="3" max="3" width="11.7109375" style="0" customWidth="1"/>
    <col min="4" max="4" width="11.140625" style="0" customWidth="1"/>
    <col min="5" max="5" width="10.421875" style="0" customWidth="1"/>
    <col min="6" max="7" width="10.8515625" style="0" customWidth="1"/>
    <col min="8" max="8" width="11.421875" style="0" customWidth="1"/>
    <col min="9" max="9" width="11.8515625" style="0" customWidth="1"/>
    <col min="10" max="10" width="11.57421875" style="0" customWidth="1"/>
    <col min="11" max="11" width="11.421875" style="0" customWidth="1"/>
    <col min="12" max="12" width="10.28125" style="0" customWidth="1"/>
    <col min="13" max="13" width="11.7109375" style="0" customWidth="1"/>
    <col min="14" max="14" width="12.00390625" style="0" customWidth="1"/>
    <col min="15" max="16" width="9.57421875" style="0" customWidth="1"/>
    <col min="17" max="17" width="11.28125" style="0" customWidth="1"/>
    <col min="18" max="18" width="9.00390625" style="0" customWidth="1"/>
    <col min="19" max="19" width="10.140625" style="0" customWidth="1"/>
    <col min="20" max="20" width="8.421875" style="0" customWidth="1"/>
    <col min="21" max="21" width="10.00390625" style="0" customWidth="1"/>
    <col min="22" max="22" width="11.421875" style="0" customWidth="1"/>
    <col min="23" max="23" width="8.7109375" style="0" customWidth="1"/>
    <col min="24" max="24" width="10.140625" style="0" customWidth="1"/>
    <col min="25" max="25" width="7.57421875" style="0" customWidth="1"/>
    <col min="26" max="26" width="12.57421875" style="0" customWidth="1"/>
    <col min="27" max="27" width="12.140625" style="0" customWidth="1"/>
    <col min="28" max="29" width="11.140625" style="0" customWidth="1"/>
  </cols>
  <sheetData>
    <row r="1" spans="28:29" ht="12.75">
      <c r="AB1" s="1217" t="s">
        <v>1159</v>
      </c>
      <c r="AC1" s="1217"/>
    </row>
    <row r="2" spans="1:27" ht="12.75">
      <c r="A2" s="1214"/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32"/>
    </row>
    <row r="3" spans="1:27" ht="46.5" customHeight="1">
      <c r="A3" s="1213" t="s">
        <v>1530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1213"/>
      <c r="R3" s="1213"/>
      <c r="S3" s="1213"/>
      <c r="T3" s="1213"/>
      <c r="U3" s="1213"/>
      <c r="V3" s="1213"/>
      <c r="W3" s="1213"/>
      <c r="X3" s="1213"/>
      <c r="Y3" s="1213"/>
      <c r="Z3" s="1213"/>
      <c r="AA3" s="1213"/>
    </row>
    <row r="4" spans="26:27" ht="12.75">
      <c r="Z4" s="1215" t="s">
        <v>161</v>
      </c>
      <c r="AA4" s="1215"/>
    </row>
    <row r="5" spans="1:29" ht="12.75" customHeight="1">
      <c r="A5" s="1216" t="s">
        <v>450</v>
      </c>
      <c r="B5" s="1201" t="s">
        <v>145</v>
      </c>
      <c r="C5" s="1202"/>
      <c r="D5" s="1202"/>
      <c r="E5" s="1203"/>
      <c r="F5" s="1201" t="s">
        <v>1100</v>
      </c>
      <c r="G5" s="1202"/>
      <c r="H5" s="1202"/>
      <c r="I5" s="1203"/>
      <c r="J5" s="1201" t="s">
        <v>536</v>
      </c>
      <c r="K5" s="1202"/>
      <c r="L5" s="1202"/>
      <c r="M5" s="1203"/>
      <c r="N5" s="1221" t="s">
        <v>537</v>
      </c>
      <c r="O5" s="1222"/>
      <c r="P5" s="1222"/>
      <c r="Q5" s="1222"/>
      <c r="R5" s="1222"/>
      <c r="S5" s="1222"/>
      <c r="T5" s="1222"/>
      <c r="U5" s="1223"/>
      <c r="V5" s="1201" t="s">
        <v>1102</v>
      </c>
      <c r="W5" s="1202"/>
      <c r="X5" s="1202"/>
      <c r="Y5" s="1203"/>
      <c r="Z5" s="1207" t="s">
        <v>1025</v>
      </c>
      <c r="AA5" s="1208"/>
      <c r="AB5" s="1208"/>
      <c r="AC5" s="1209"/>
    </row>
    <row r="6" spans="1:29" ht="24" customHeight="1">
      <c r="A6" s="1216"/>
      <c r="B6" s="1204"/>
      <c r="C6" s="1205"/>
      <c r="D6" s="1205"/>
      <c r="E6" s="1206"/>
      <c r="F6" s="1204"/>
      <c r="G6" s="1205"/>
      <c r="H6" s="1205"/>
      <c r="I6" s="1206"/>
      <c r="J6" s="1204"/>
      <c r="K6" s="1205"/>
      <c r="L6" s="1205"/>
      <c r="M6" s="1206"/>
      <c r="N6" s="1218" t="s">
        <v>538</v>
      </c>
      <c r="O6" s="1219"/>
      <c r="P6" s="1219"/>
      <c r="Q6" s="1220"/>
      <c r="R6" s="1218" t="s">
        <v>1101</v>
      </c>
      <c r="S6" s="1219"/>
      <c r="T6" s="1219"/>
      <c r="U6" s="1220"/>
      <c r="V6" s="1204"/>
      <c r="W6" s="1205"/>
      <c r="X6" s="1205"/>
      <c r="Y6" s="1206"/>
      <c r="Z6" s="1210"/>
      <c r="AA6" s="1211"/>
      <c r="AB6" s="1211"/>
      <c r="AC6" s="1212"/>
    </row>
    <row r="7" spans="1:29" ht="12.75">
      <c r="A7" s="1216"/>
      <c r="B7" s="168" t="s">
        <v>1012</v>
      </c>
      <c r="C7" s="168" t="s">
        <v>1103</v>
      </c>
      <c r="D7" s="168" t="s">
        <v>1528</v>
      </c>
      <c r="E7" s="168" t="s">
        <v>1529</v>
      </c>
      <c r="F7" s="168" t="s">
        <v>1012</v>
      </c>
      <c r="G7" s="168" t="s">
        <v>1103</v>
      </c>
      <c r="H7" s="168" t="s">
        <v>1528</v>
      </c>
      <c r="I7" s="168" t="s">
        <v>1529</v>
      </c>
      <c r="J7" s="168" t="s">
        <v>1012</v>
      </c>
      <c r="K7" s="168" t="s">
        <v>1103</v>
      </c>
      <c r="L7" s="168" t="s">
        <v>1528</v>
      </c>
      <c r="M7" s="168" t="s">
        <v>1529</v>
      </c>
      <c r="N7" s="168" t="s">
        <v>1012</v>
      </c>
      <c r="O7" s="168" t="s">
        <v>1103</v>
      </c>
      <c r="P7" s="168" t="s">
        <v>1528</v>
      </c>
      <c r="Q7" s="168" t="s">
        <v>1529</v>
      </c>
      <c r="R7" s="168" t="s">
        <v>1012</v>
      </c>
      <c r="S7" s="168" t="s">
        <v>1103</v>
      </c>
      <c r="T7" s="168" t="s">
        <v>1528</v>
      </c>
      <c r="U7" s="168" t="s">
        <v>1529</v>
      </c>
      <c r="V7" s="168" t="s">
        <v>1012</v>
      </c>
      <c r="W7" s="168" t="s">
        <v>1103</v>
      </c>
      <c r="X7" s="168" t="s">
        <v>1528</v>
      </c>
      <c r="Y7" s="168" t="s">
        <v>1529</v>
      </c>
      <c r="Z7" s="1113" t="s">
        <v>1012</v>
      </c>
      <c r="AA7" s="1113" t="s">
        <v>1103</v>
      </c>
      <c r="AB7" s="1114" t="s">
        <v>1528</v>
      </c>
      <c r="AC7" s="1114" t="s">
        <v>1529</v>
      </c>
    </row>
    <row r="8" spans="1:29" ht="12.75">
      <c r="A8" s="870" t="s">
        <v>558</v>
      </c>
      <c r="B8" s="39">
        <f>'Polg. Hiv'!E112+'841125-115-Elsőfokú ép. hatóság'!E41</f>
        <v>650</v>
      </c>
      <c r="C8" s="39">
        <f>B8</f>
        <v>650</v>
      </c>
      <c r="D8" s="39">
        <v>172.185</v>
      </c>
      <c r="E8" s="1109">
        <f>D8/C8</f>
        <v>0.2649</v>
      </c>
      <c r="F8" s="39"/>
      <c r="G8" s="39"/>
      <c r="H8" s="39"/>
      <c r="I8" s="1109"/>
      <c r="J8" s="39"/>
      <c r="K8" s="39"/>
      <c r="L8" s="1092"/>
      <c r="M8" s="1092"/>
      <c r="N8" s="2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>
        <f aca="true" t="shared" si="0" ref="Z8:AB12">+B8+F8+J8+N8+R8+V8</f>
        <v>650</v>
      </c>
      <c r="AA8" s="39">
        <f t="shared" si="0"/>
        <v>650</v>
      </c>
      <c r="AB8" s="39">
        <f t="shared" si="0"/>
        <v>172.185</v>
      </c>
      <c r="AC8" s="1115">
        <f>AB8/AA8</f>
        <v>0.2649</v>
      </c>
    </row>
    <row r="9" spans="1:29" s="862" customFormat="1" ht="12.75">
      <c r="A9" s="870" t="s">
        <v>1450</v>
      </c>
      <c r="B9" s="39"/>
      <c r="C9" s="39"/>
      <c r="D9" s="39"/>
      <c r="E9" s="1109"/>
      <c r="F9" s="39"/>
      <c r="G9" s="39"/>
      <c r="H9" s="39"/>
      <c r="I9" s="1109"/>
      <c r="J9" s="39"/>
      <c r="K9" s="39"/>
      <c r="L9" s="39"/>
      <c r="M9" s="1109"/>
      <c r="N9" s="18">
        <f>'841126-116-Önk. igazgatás'!E132</f>
        <v>13934</v>
      </c>
      <c r="O9" s="18">
        <f>N9</f>
        <v>13934</v>
      </c>
      <c r="P9" s="18">
        <v>0</v>
      </c>
      <c r="Q9" s="1111">
        <f>P9/O9</f>
        <v>0</v>
      </c>
      <c r="R9" s="39"/>
      <c r="S9" s="39"/>
      <c r="T9" s="39"/>
      <c r="U9" s="39"/>
      <c r="V9" s="39"/>
      <c r="W9" s="39"/>
      <c r="X9" s="39"/>
      <c r="Y9" s="39"/>
      <c r="Z9" s="39">
        <f t="shared" si="0"/>
        <v>13934</v>
      </c>
      <c r="AA9" s="39">
        <f t="shared" si="0"/>
        <v>13934</v>
      </c>
      <c r="AB9" s="39">
        <f t="shared" si="0"/>
        <v>0</v>
      </c>
      <c r="AC9" s="1115">
        <f aca="true" t="shared" si="1" ref="AC9:AC55">AB9/AA9</f>
        <v>0</v>
      </c>
    </row>
    <row r="10" spans="1:29" ht="12.75">
      <c r="A10" s="870" t="s">
        <v>1451</v>
      </c>
      <c r="B10" s="39"/>
      <c r="C10" s="39"/>
      <c r="D10" s="39"/>
      <c r="E10" s="1109"/>
      <c r="F10" s="39"/>
      <c r="G10" s="39"/>
      <c r="H10" s="39"/>
      <c r="I10" s="1109"/>
      <c r="J10" s="39"/>
      <c r="K10" s="39"/>
      <c r="L10" s="39"/>
      <c r="M10" s="1109"/>
      <c r="N10" s="18">
        <f>'841126-PHiv'!D114</f>
        <v>6668</v>
      </c>
      <c r="O10" s="18">
        <f>N10</f>
        <v>6668</v>
      </c>
      <c r="P10" s="18">
        <v>0</v>
      </c>
      <c r="Q10" s="1111">
        <f>P10/O10</f>
        <v>0</v>
      </c>
      <c r="R10" s="16"/>
      <c r="S10" s="16"/>
      <c r="T10" s="16"/>
      <c r="U10" s="16"/>
      <c r="V10" s="39"/>
      <c r="W10" s="39"/>
      <c r="X10" s="39"/>
      <c r="Y10" s="39"/>
      <c r="Z10" s="39">
        <f t="shared" si="0"/>
        <v>6668</v>
      </c>
      <c r="AA10" s="39">
        <f t="shared" si="0"/>
        <v>6668</v>
      </c>
      <c r="AB10" s="39">
        <f t="shared" si="0"/>
        <v>0</v>
      </c>
      <c r="AC10" s="1115">
        <f t="shared" si="1"/>
        <v>0</v>
      </c>
    </row>
    <row r="11" spans="1:29" ht="12.75">
      <c r="A11" s="870" t="s">
        <v>873</v>
      </c>
      <c r="B11" s="39"/>
      <c r="C11" s="39"/>
      <c r="D11" s="39"/>
      <c r="E11" s="1109"/>
      <c r="F11" s="39"/>
      <c r="G11" s="39"/>
      <c r="H11" s="39"/>
      <c r="I11" s="1109"/>
      <c r="J11" s="39"/>
      <c r="K11" s="39"/>
      <c r="L11" s="39"/>
      <c r="M11" s="1109"/>
      <c r="N11" s="18">
        <f>'841126-PHiv'!D115</f>
        <v>26068</v>
      </c>
      <c r="O11" s="18">
        <f>N11</f>
        <v>26068</v>
      </c>
      <c r="P11" s="18">
        <v>17070.218</v>
      </c>
      <c r="Q11" s="1111">
        <f>P11/O11</f>
        <v>0.654834202854074</v>
      </c>
      <c r="R11" s="39"/>
      <c r="S11" s="39"/>
      <c r="T11" s="39"/>
      <c r="U11" s="39"/>
      <c r="V11" s="39"/>
      <c r="W11" s="39"/>
      <c r="X11" s="39"/>
      <c r="Y11" s="39"/>
      <c r="Z11" s="39">
        <f t="shared" si="0"/>
        <v>26068</v>
      </c>
      <c r="AA11" s="39">
        <f t="shared" si="0"/>
        <v>26068</v>
      </c>
      <c r="AB11" s="39">
        <f t="shared" si="0"/>
        <v>17070.218</v>
      </c>
      <c r="AC11" s="1115">
        <f t="shared" si="1"/>
        <v>0.654834202854074</v>
      </c>
    </row>
    <row r="12" spans="1:29" ht="12.75">
      <c r="A12" s="42" t="s">
        <v>1551</v>
      </c>
      <c r="B12" s="39"/>
      <c r="C12" s="39"/>
      <c r="D12" s="39"/>
      <c r="E12" s="1109"/>
      <c r="F12" s="39"/>
      <c r="G12" s="39"/>
      <c r="H12" s="39"/>
      <c r="I12" s="1109"/>
      <c r="J12" s="39"/>
      <c r="K12" s="39"/>
      <c r="L12" s="39"/>
      <c r="M12" s="1109"/>
      <c r="N12" s="18">
        <v>0</v>
      </c>
      <c r="O12" s="18">
        <v>0</v>
      </c>
      <c r="P12" s="18">
        <v>224.463</v>
      </c>
      <c r="Q12" s="1111">
        <v>0</v>
      </c>
      <c r="R12" s="39"/>
      <c r="S12" s="39"/>
      <c r="T12" s="39"/>
      <c r="U12" s="39"/>
      <c r="V12" s="39"/>
      <c r="W12" s="39"/>
      <c r="X12" s="39"/>
      <c r="Y12" s="39"/>
      <c r="Z12" s="39">
        <f t="shared" si="0"/>
        <v>0</v>
      </c>
      <c r="AA12" s="39">
        <f t="shared" si="0"/>
        <v>0</v>
      </c>
      <c r="AB12" s="39">
        <f t="shared" si="0"/>
        <v>224.463</v>
      </c>
      <c r="AC12" s="1115">
        <v>0</v>
      </c>
    </row>
    <row r="13" spans="1:29" ht="12.75">
      <c r="A13" s="54" t="s">
        <v>1137</v>
      </c>
      <c r="B13" s="49">
        <f>SUM(B8:B11)</f>
        <v>650</v>
      </c>
      <c r="C13" s="49">
        <f aca="true" t="shared" si="2" ref="C13:N13">SUM(C8:C11)</f>
        <v>650</v>
      </c>
      <c r="D13" s="49">
        <f t="shared" si="2"/>
        <v>172.185</v>
      </c>
      <c r="E13" s="1109">
        <f>D13/C13</f>
        <v>0.2649</v>
      </c>
      <c r="F13" s="49">
        <f t="shared" si="2"/>
        <v>0</v>
      </c>
      <c r="G13" s="49">
        <f t="shared" si="2"/>
        <v>0</v>
      </c>
      <c r="H13" s="49">
        <f t="shared" si="2"/>
        <v>0</v>
      </c>
      <c r="I13" s="1109"/>
      <c r="J13" s="49">
        <f t="shared" si="2"/>
        <v>0</v>
      </c>
      <c r="K13" s="49">
        <f t="shared" si="2"/>
        <v>0</v>
      </c>
      <c r="L13" s="49">
        <f t="shared" si="2"/>
        <v>0</v>
      </c>
      <c r="M13" s="1110"/>
      <c r="N13" s="49">
        <f t="shared" si="2"/>
        <v>46670</v>
      </c>
      <c r="O13" s="49">
        <f aca="true" t="shared" si="3" ref="O13:AA13">SUM(O8:O11)</f>
        <v>46670</v>
      </c>
      <c r="P13" s="49">
        <f>SUM(P8:P12)</f>
        <v>17294.681</v>
      </c>
      <c r="Q13" s="1111">
        <f>P13/O13</f>
        <v>0.3705738375830298</v>
      </c>
      <c r="R13" s="49">
        <f t="shared" si="3"/>
        <v>0</v>
      </c>
      <c r="S13" s="49">
        <f t="shared" si="3"/>
        <v>0</v>
      </c>
      <c r="T13" s="49">
        <f t="shared" si="3"/>
        <v>0</v>
      </c>
      <c r="U13" s="49"/>
      <c r="V13" s="49">
        <f t="shared" si="3"/>
        <v>0</v>
      </c>
      <c r="W13" s="49">
        <f t="shared" si="3"/>
        <v>0</v>
      </c>
      <c r="X13" s="49"/>
      <c r="Y13" s="49"/>
      <c r="Z13" s="49">
        <f t="shared" si="3"/>
        <v>47320</v>
      </c>
      <c r="AA13" s="49">
        <f t="shared" si="3"/>
        <v>47320</v>
      </c>
      <c r="AB13" s="49">
        <f>SUM(AB8:AB12)</f>
        <v>17466.866</v>
      </c>
      <c r="AC13" s="1115">
        <f t="shared" si="1"/>
        <v>0.3691222738799662</v>
      </c>
    </row>
    <row r="14" spans="1:29" ht="12.75">
      <c r="A14" s="870" t="s">
        <v>1104</v>
      </c>
      <c r="B14" s="39"/>
      <c r="C14" s="39"/>
      <c r="D14" s="39"/>
      <c r="E14" s="1109"/>
      <c r="F14" s="39"/>
      <c r="G14" s="39"/>
      <c r="H14" s="39"/>
      <c r="I14" s="1109"/>
      <c r="J14" s="39"/>
      <c r="K14" s="39"/>
      <c r="L14" s="39"/>
      <c r="M14" s="1109"/>
      <c r="N14" s="18">
        <v>0</v>
      </c>
      <c r="O14" s="18"/>
      <c r="P14" s="18"/>
      <c r="Q14" s="1111"/>
      <c r="R14" s="39"/>
      <c r="S14" s="39"/>
      <c r="T14" s="39"/>
      <c r="U14" s="39"/>
      <c r="V14" s="39"/>
      <c r="W14" s="39"/>
      <c r="X14" s="39"/>
      <c r="Y14" s="39"/>
      <c r="Z14" s="39">
        <f aca="true" t="shared" si="4" ref="Z14:AB20">+B14+F14+J14+N14+R14+V14</f>
        <v>0</v>
      </c>
      <c r="AA14" s="39">
        <f t="shared" si="4"/>
        <v>0</v>
      </c>
      <c r="AB14" s="39">
        <f t="shared" si="4"/>
        <v>0</v>
      </c>
      <c r="AC14" s="1115"/>
    </row>
    <row r="15" spans="1:29" ht="12.75">
      <c r="A15" s="42" t="s">
        <v>730</v>
      </c>
      <c r="B15" s="39">
        <v>0</v>
      </c>
      <c r="C15" s="39">
        <v>0</v>
      </c>
      <c r="D15" s="39">
        <v>2872.804</v>
      </c>
      <c r="E15" s="1109"/>
      <c r="F15" s="39"/>
      <c r="G15" s="39"/>
      <c r="H15" s="39"/>
      <c r="I15" s="1109"/>
      <c r="J15" s="39"/>
      <c r="K15" s="39"/>
      <c r="L15" s="39"/>
      <c r="M15" s="1109"/>
      <c r="N15" s="39"/>
      <c r="O15" s="39"/>
      <c r="P15" s="39"/>
      <c r="Q15" s="1111"/>
      <c r="R15" s="39">
        <v>1989</v>
      </c>
      <c r="S15" s="39">
        <f>R15</f>
        <v>1989</v>
      </c>
      <c r="T15" s="39"/>
      <c r="U15" s="1109">
        <f>T15/S15</f>
        <v>0</v>
      </c>
      <c r="V15" s="39"/>
      <c r="W15" s="39"/>
      <c r="X15" s="39"/>
      <c r="Y15" s="39"/>
      <c r="Z15" s="39">
        <f t="shared" si="4"/>
        <v>1989</v>
      </c>
      <c r="AA15" s="39">
        <f t="shared" si="4"/>
        <v>1989</v>
      </c>
      <c r="AB15" s="39">
        <f t="shared" si="4"/>
        <v>2872.804</v>
      </c>
      <c r="AC15" s="1115">
        <f t="shared" si="1"/>
        <v>1.4443459024635497</v>
      </c>
    </row>
    <row r="16" spans="1:29" ht="12.75">
      <c r="A16" s="42" t="s">
        <v>1557</v>
      </c>
      <c r="B16" s="39">
        <v>0</v>
      </c>
      <c r="C16" s="39">
        <v>0</v>
      </c>
      <c r="D16" s="39">
        <v>3839.244</v>
      </c>
      <c r="E16" s="1109"/>
      <c r="F16" s="39"/>
      <c r="G16" s="39"/>
      <c r="H16" s="39"/>
      <c r="I16" s="1109"/>
      <c r="J16" s="39"/>
      <c r="K16" s="39"/>
      <c r="L16" s="39"/>
      <c r="M16" s="1109"/>
      <c r="N16" s="39"/>
      <c r="O16" s="39"/>
      <c r="P16" s="39"/>
      <c r="Q16" s="1111"/>
      <c r="R16" s="39"/>
      <c r="S16" s="39"/>
      <c r="T16" s="39"/>
      <c r="U16" s="1109"/>
      <c r="V16" s="39"/>
      <c r="W16" s="39"/>
      <c r="X16" s="39"/>
      <c r="Y16" s="39"/>
      <c r="Z16" s="39"/>
      <c r="AA16" s="39"/>
      <c r="AB16" s="39">
        <f t="shared" si="4"/>
        <v>3839.244</v>
      </c>
      <c r="AC16" s="1115"/>
    </row>
    <row r="17" spans="1:29" ht="12.75">
      <c r="A17" s="6" t="s">
        <v>1105</v>
      </c>
      <c r="B17" s="39"/>
      <c r="C17" s="39"/>
      <c r="D17" s="39"/>
      <c r="E17" s="1109"/>
      <c r="F17" s="39"/>
      <c r="G17" s="39"/>
      <c r="H17" s="39"/>
      <c r="I17" s="1109"/>
      <c r="J17" s="39"/>
      <c r="K17" s="39"/>
      <c r="L17" s="39"/>
      <c r="M17" s="1109"/>
      <c r="N17" s="39">
        <f>'841126-116-Önk. igazgatás'!E141</f>
        <v>0</v>
      </c>
      <c r="O17" s="39"/>
      <c r="P17" s="39"/>
      <c r="Q17" s="1111"/>
      <c r="R17" s="39"/>
      <c r="S17" s="39"/>
      <c r="T17" s="39"/>
      <c r="U17" s="1109"/>
      <c r="V17" s="39"/>
      <c r="W17" s="7"/>
      <c r="X17" s="7"/>
      <c r="Y17" s="7"/>
      <c r="Z17" s="7">
        <f t="shared" si="4"/>
        <v>0</v>
      </c>
      <c r="AA17" s="7">
        <f t="shared" si="4"/>
        <v>0</v>
      </c>
      <c r="AB17" s="7">
        <f t="shared" si="4"/>
        <v>0</v>
      </c>
      <c r="AC17" s="1115"/>
    </row>
    <row r="18" spans="1:29" ht="12.75">
      <c r="A18" s="14" t="s">
        <v>457</v>
      </c>
      <c r="B18" s="39"/>
      <c r="C18" s="39"/>
      <c r="D18" s="39"/>
      <c r="E18" s="1109"/>
      <c r="F18" s="39"/>
      <c r="G18" s="39"/>
      <c r="H18" s="39"/>
      <c r="I18" s="1109"/>
      <c r="J18" s="39"/>
      <c r="K18" s="39"/>
      <c r="L18" s="39"/>
      <c r="M18" s="1109"/>
      <c r="N18" s="39">
        <f>'841126-116-Önk. igazgatás'!E142</f>
        <v>148765</v>
      </c>
      <c r="O18" s="39">
        <f>N18</f>
        <v>148765</v>
      </c>
      <c r="P18" s="39">
        <v>74523.957</v>
      </c>
      <c r="Q18" s="1111">
        <f>P18/O18</f>
        <v>0.5009508755419622</v>
      </c>
      <c r="R18" s="39"/>
      <c r="S18" s="39"/>
      <c r="T18" s="39"/>
      <c r="U18" s="1109"/>
      <c r="V18" s="39"/>
      <c r="W18" s="7"/>
      <c r="X18" s="7"/>
      <c r="Y18" s="7"/>
      <c r="Z18" s="7">
        <f t="shared" si="4"/>
        <v>148765</v>
      </c>
      <c r="AA18" s="7">
        <f t="shared" si="4"/>
        <v>148765</v>
      </c>
      <c r="AB18" s="7">
        <f t="shared" si="4"/>
        <v>74523.957</v>
      </c>
      <c r="AC18" s="1115">
        <f t="shared" si="1"/>
        <v>0.5009508755419622</v>
      </c>
    </row>
    <row r="19" spans="1:29" ht="12.75">
      <c r="A19" s="6" t="s">
        <v>195</v>
      </c>
      <c r="B19" s="1091"/>
      <c r="C19" s="39"/>
      <c r="D19" s="39"/>
      <c r="E19" s="1109"/>
      <c r="F19" s="39"/>
      <c r="G19" s="39"/>
      <c r="H19" s="39"/>
      <c r="I19" s="1109"/>
      <c r="J19" s="39"/>
      <c r="K19" s="39"/>
      <c r="L19" s="39"/>
      <c r="M19" s="1109"/>
      <c r="N19" s="870"/>
      <c r="O19" s="39"/>
      <c r="P19" s="39"/>
      <c r="Q19" s="1111"/>
      <c r="R19" s="39"/>
      <c r="S19" s="39"/>
      <c r="T19" s="39"/>
      <c r="U19" s="1109"/>
      <c r="V19" s="39"/>
      <c r="W19" s="7"/>
      <c r="X19" s="7"/>
      <c r="Y19" s="7"/>
      <c r="Z19" s="7">
        <f t="shared" si="4"/>
        <v>0</v>
      </c>
      <c r="AA19" s="7">
        <f t="shared" si="4"/>
        <v>0</v>
      </c>
      <c r="AB19" s="7">
        <f t="shared" si="4"/>
        <v>0</v>
      </c>
      <c r="AC19" s="1115"/>
    </row>
    <row r="20" spans="1:29" s="1043" customFormat="1" ht="12.75">
      <c r="A20" s="42" t="s">
        <v>1108</v>
      </c>
      <c r="B20" s="18"/>
      <c r="C20" s="18"/>
      <c r="D20" s="1108"/>
      <c r="E20" s="1109"/>
      <c r="F20" s="19"/>
      <c r="G20" s="18"/>
      <c r="H20" s="18"/>
      <c r="I20" s="1109"/>
      <c r="J20" s="18"/>
      <c r="K20" s="18"/>
      <c r="L20" s="18"/>
      <c r="M20" s="1111"/>
      <c r="N20" s="42"/>
      <c r="O20" s="18"/>
      <c r="P20" s="18"/>
      <c r="Q20" s="1111"/>
      <c r="R20" s="18"/>
      <c r="S20" s="18"/>
      <c r="T20" s="18"/>
      <c r="U20" s="1111"/>
      <c r="V20" s="18"/>
      <c r="W20" s="18"/>
      <c r="X20" s="18"/>
      <c r="Y20" s="18"/>
      <c r="Z20" s="7">
        <f t="shared" si="4"/>
        <v>0</v>
      </c>
      <c r="AA20" s="7">
        <f t="shared" si="4"/>
        <v>0</v>
      </c>
      <c r="AB20" s="7">
        <f t="shared" si="4"/>
        <v>0</v>
      </c>
      <c r="AC20" s="1115"/>
    </row>
    <row r="21" spans="1:29" s="13" customFormat="1" ht="12.75" hidden="1">
      <c r="A21" s="14" t="s">
        <v>1346</v>
      </c>
      <c r="B21" s="18"/>
      <c r="C21" s="18"/>
      <c r="D21" s="18"/>
      <c r="E21" s="1109"/>
      <c r="F21" s="18"/>
      <c r="G21" s="18"/>
      <c r="H21" s="18"/>
      <c r="I21" s="1109"/>
      <c r="J21" s="18">
        <f>'[1]2m'!B45</f>
        <v>0</v>
      </c>
      <c r="K21" s="18"/>
      <c r="L21" s="18"/>
      <c r="M21" s="1111"/>
      <c r="N21" s="42"/>
      <c r="O21" s="18"/>
      <c r="P21" s="18"/>
      <c r="Q21" s="1111" t="e">
        <f>P21/O21</f>
        <v>#DIV/0!</v>
      </c>
      <c r="R21" s="18"/>
      <c r="S21" s="18"/>
      <c r="T21" s="18"/>
      <c r="U21" s="1111"/>
      <c r="V21" s="18">
        <f>'[1]841126-Finanszírozási műveletek'!D24</f>
        <v>0</v>
      </c>
      <c r="W21" s="15"/>
      <c r="X21" s="15"/>
      <c r="Y21" s="15"/>
      <c r="Z21" s="7">
        <f aca="true" t="shared" si="5" ref="Z21:Z30">+B21+F21+J21+N21+R21+V21</f>
        <v>0</v>
      </c>
      <c r="AA21" s="15"/>
      <c r="AB21" s="14"/>
      <c r="AC21" s="1115" t="e">
        <f t="shared" si="1"/>
        <v>#DIV/0!</v>
      </c>
    </row>
    <row r="22" spans="1:29" s="13" customFormat="1" ht="12.75">
      <c r="A22" s="42" t="s">
        <v>830</v>
      </c>
      <c r="B22" s="18"/>
      <c r="C22" s="18"/>
      <c r="D22" s="18"/>
      <c r="E22" s="1109"/>
      <c r="F22" s="18"/>
      <c r="G22" s="18"/>
      <c r="H22" s="18"/>
      <c r="I22" s="1109"/>
      <c r="J22" s="18"/>
      <c r="K22" s="18"/>
      <c r="L22" s="18"/>
      <c r="M22" s="1111"/>
      <c r="N22" s="39">
        <f>'841126-116-Önk. igazgatás'!E134</f>
        <v>1613</v>
      </c>
      <c r="O22" s="18">
        <f>N22</f>
        <v>1613</v>
      </c>
      <c r="P22" s="18">
        <v>0</v>
      </c>
      <c r="Q22" s="1111">
        <f>P22/O22</f>
        <v>0</v>
      </c>
      <c r="R22" s="18"/>
      <c r="S22" s="18"/>
      <c r="T22" s="18"/>
      <c r="U22" s="1111"/>
      <c r="V22" s="18"/>
      <c r="W22" s="15"/>
      <c r="X22" s="15"/>
      <c r="Y22" s="15"/>
      <c r="Z22" s="7">
        <f t="shared" si="5"/>
        <v>1613</v>
      </c>
      <c r="AA22" s="7">
        <f aca="true" t="shared" si="6" ref="AA22:AB30">+C22+G22+K22+O22+S22+W22</f>
        <v>1613</v>
      </c>
      <c r="AB22" s="7">
        <f t="shared" si="6"/>
        <v>0</v>
      </c>
      <c r="AC22" s="1115">
        <f t="shared" si="1"/>
        <v>0</v>
      </c>
    </row>
    <row r="23" spans="1:29" s="13" customFormat="1" ht="12.75">
      <c r="A23" s="6" t="s">
        <v>1017</v>
      </c>
      <c r="B23" s="39"/>
      <c r="C23" s="39"/>
      <c r="D23" s="39"/>
      <c r="E23" s="1109"/>
      <c r="F23" s="39"/>
      <c r="G23" s="39"/>
      <c r="H23" s="39"/>
      <c r="I23" s="1109"/>
      <c r="J23" s="39"/>
      <c r="K23" s="39"/>
      <c r="L23" s="39"/>
      <c r="M23" s="1109"/>
      <c r="N23" s="18"/>
      <c r="O23" s="18"/>
      <c r="P23" s="18"/>
      <c r="Q23" s="1111"/>
      <c r="R23" s="39"/>
      <c r="S23" s="39"/>
      <c r="T23" s="39"/>
      <c r="U23" s="1109"/>
      <c r="V23" s="39"/>
      <c r="W23" s="7"/>
      <c r="X23" s="7"/>
      <c r="Y23" s="7"/>
      <c r="Z23" s="7">
        <f t="shared" si="5"/>
        <v>0</v>
      </c>
      <c r="AA23" s="7">
        <f t="shared" si="6"/>
        <v>0</v>
      </c>
      <c r="AB23" s="7">
        <f t="shared" si="6"/>
        <v>0</v>
      </c>
      <c r="AC23" s="1115"/>
    </row>
    <row r="24" spans="1:29" s="13" customFormat="1" ht="12.75">
      <c r="A24" s="14" t="s">
        <v>1563</v>
      </c>
      <c r="B24" s="39"/>
      <c r="C24" s="39"/>
      <c r="D24" s="39"/>
      <c r="E24" s="1109"/>
      <c r="F24" s="39"/>
      <c r="G24" s="39"/>
      <c r="H24" s="39">
        <f>34.6+180.543</f>
        <v>215.143</v>
      </c>
      <c r="I24" s="1109"/>
      <c r="J24" s="39"/>
      <c r="K24" s="39"/>
      <c r="L24" s="39"/>
      <c r="M24" s="1109"/>
      <c r="N24" s="18"/>
      <c r="O24" s="18"/>
      <c r="P24" s="18"/>
      <c r="Q24" s="1111"/>
      <c r="R24" s="39"/>
      <c r="S24" s="39"/>
      <c r="T24" s="39"/>
      <c r="U24" s="1109"/>
      <c r="V24" s="39"/>
      <c r="W24" s="7"/>
      <c r="X24" s="7"/>
      <c r="Y24" s="7"/>
      <c r="Z24" s="7">
        <f t="shared" si="5"/>
        <v>0</v>
      </c>
      <c r="AA24" s="7">
        <f t="shared" si="6"/>
        <v>0</v>
      </c>
      <c r="AB24" s="7">
        <f t="shared" si="6"/>
        <v>215.143</v>
      </c>
      <c r="AC24" s="1115"/>
    </row>
    <row r="25" spans="1:29" ht="12.75">
      <c r="A25" s="6" t="s">
        <v>1109</v>
      </c>
      <c r="B25" s="870"/>
      <c r="C25" s="39"/>
      <c r="D25" s="39"/>
      <c r="E25" s="1109"/>
      <c r="F25" s="39">
        <f>'841901-Önk saját bevételei'!E12</f>
        <v>102000</v>
      </c>
      <c r="G25" s="39">
        <f aca="true" t="shared" si="7" ref="G25:G30">F25</f>
        <v>102000</v>
      </c>
      <c r="H25" s="39">
        <f>9666.179+2.4+9627.089+41200.28</f>
        <v>60495.948</v>
      </c>
      <c r="I25" s="1109">
        <f>H25/G25</f>
        <v>0.5930975294117646</v>
      </c>
      <c r="J25" s="39"/>
      <c r="K25" s="39"/>
      <c r="L25" s="39"/>
      <c r="M25" s="1109"/>
      <c r="N25" s="870"/>
      <c r="O25" s="39"/>
      <c r="P25" s="39"/>
      <c r="Q25" s="1111"/>
      <c r="R25" s="39"/>
      <c r="S25" s="39"/>
      <c r="T25" s="39"/>
      <c r="U25" s="1109"/>
      <c r="V25" s="39"/>
      <c r="W25" s="7"/>
      <c r="X25" s="7"/>
      <c r="Y25" s="7"/>
      <c r="Z25" s="7">
        <f t="shared" si="5"/>
        <v>102000</v>
      </c>
      <c r="AA25" s="7">
        <f t="shared" si="6"/>
        <v>102000</v>
      </c>
      <c r="AB25" s="7">
        <f t="shared" si="6"/>
        <v>60495.948</v>
      </c>
      <c r="AC25" s="1115">
        <f t="shared" si="1"/>
        <v>0.5930975294117646</v>
      </c>
    </row>
    <row r="26" spans="1:29" ht="12.75">
      <c r="A26" s="6" t="s">
        <v>198</v>
      </c>
      <c r="B26" s="870">
        <v>0</v>
      </c>
      <c r="C26" s="39">
        <v>0</v>
      </c>
      <c r="D26" s="39">
        <f>195.974+22.5</f>
        <v>218.474</v>
      </c>
      <c r="E26" s="1109"/>
      <c r="F26" s="39">
        <f>'841901-Önk saját bevételei'!E13</f>
        <v>100</v>
      </c>
      <c r="G26" s="39">
        <f t="shared" si="7"/>
        <v>100</v>
      </c>
      <c r="H26" s="39">
        <f>6.5+85.745+325.233</f>
        <v>417.478</v>
      </c>
      <c r="I26" s="1109">
        <f>H26/G26</f>
        <v>4.17478</v>
      </c>
      <c r="J26" s="39"/>
      <c r="K26" s="39"/>
      <c r="L26" s="39"/>
      <c r="M26" s="1109"/>
      <c r="N26" s="870"/>
      <c r="O26" s="39"/>
      <c r="P26" s="39"/>
      <c r="Q26" s="1111"/>
      <c r="R26" s="39"/>
      <c r="S26" s="39"/>
      <c r="T26" s="39"/>
      <c r="U26" s="1109"/>
      <c r="V26" s="39"/>
      <c r="W26" s="7"/>
      <c r="X26" s="7"/>
      <c r="Y26" s="7"/>
      <c r="Z26" s="7">
        <f t="shared" si="5"/>
        <v>100</v>
      </c>
      <c r="AA26" s="7">
        <f t="shared" si="6"/>
        <v>100</v>
      </c>
      <c r="AB26" s="7">
        <f t="shared" si="6"/>
        <v>635.952</v>
      </c>
      <c r="AC26" s="1115">
        <f t="shared" si="1"/>
        <v>6.35952</v>
      </c>
    </row>
    <row r="27" spans="1:29" ht="12.75">
      <c r="A27" s="6" t="s">
        <v>196</v>
      </c>
      <c r="B27" s="870"/>
      <c r="C27" s="39"/>
      <c r="D27" s="39"/>
      <c r="E27" s="1109"/>
      <c r="F27" s="39">
        <f>'841901-Önk saját bevételei'!E16</f>
        <v>12800</v>
      </c>
      <c r="G27" s="39">
        <f t="shared" si="7"/>
        <v>12800</v>
      </c>
      <c r="H27" s="39">
        <v>6526.79</v>
      </c>
      <c r="I27" s="1109">
        <f>H27/G27</f>
        <v>0.50990546875</v>
      </c>
      <c r="J27" s="39"/>
      <c r="K27" s="39"/>
      <c r="L27" s="39"/>
      <c r="M27" s="1109"/>
      <c r="N27" s="870"/>
      <c r="O27" s="39"/>
      <c r="P27" s="39"/>
      <c r="Q27" s="1111"/>
      <c r="R27" s="39"/>
      <c r="S27" s="39"/>
      <c r="T27" s="39"/>
      <c r="U27" s="1109"/>
      <c r="V27" s="39"/>
      <c r="W27" s="7"/>
      <c r="X27" s="7"/>
      <c r="Y27" s="7"/>
      <c r="Z27" s="7">
        <f t="shared" si="5"/>
        <v>12800</v>
      </c>
      <c r="AA27" s="7">
        <f t="shared" si="6"/>
        <v>12800</v>
      </c>
      <c r="AB27" s="7">
        <f t="shared" si="6"/>
        <v>6526.79</v>
      </c>
      <c r="AC27" s="1115">
        <f t="shared" si="1"/>
        <v>0.50990546875</v>
      </c>
    </row>
    <row r="28" spans="1:29" ht="12.75">
      <c r="A28" s="6" t="s">
        <v>1099</v>
      </c>
      <c r="B28" s="870"/>
      <c r="C28" s="39"/>
      <c r="D28" s="39"/>
      <c r="E28" s="1109"/>
      <c r="F28" s="39">
        <f>'841901-Önk saját bevételei'!E23</f>
        <v>700</v>
      </c>
      <c r="G28" s="39">
        <f t="shared" si="7"/>
        <v>700</v>
      </c>
      <c r="H28" s="39">
        <v>1269.212</v>
      </c>
      <c r="I28" s="1109">
        <f>H28/G28</f>
        <v>1.8131599999999999</v>
      </c>
      <c r="J28" s="39"/>
      <c r="K28" s="39"/>
      <c r="L28" s="39"/>
      <c r="M28" s="1109"/>
      <c r="N28" s="870"/>
      <c r="O28" s="39"/>
      <c r="P28" s="39"/>
      <c r="Q28" s="1111"/>
      <c r="R28" s="39"/>
      <c r="S28" s="39"/>
      <c r="T28" s="39"/>
      <c r="U28" s="1109"/>
      <c r="V28" s="39"/>
      <c r="W28" s="7"/>
      <c r="X28" s="7"/>
      <c r="Y28" s="7"/>
      <c r="Z28" s="7">
        <f t="shared" si="5"/>
        <v>700</v>
      </c>
      <c r="AA28" s="7">
        <f t="shared" si="6"/>
        <v>700</v>
      </c>
      <c r="AB28" s="7">
        <f t="shared" si="6"/>
        <v>1269.212</v>
      </c>
      <c r="AC28" s="1115">
        <f t="shared" si="1"/>
        <v>1.8131599999999999</v>
      </c>
    </row>
    <row r="29" spans="1:29" ht="12.75">
      <c r="A29" s="6" t="s">
        <v>559</v>
      </c>
      <c r="B29" s="870"/>
      <c r="C29" s="39"/>
      <c r="D29" s="39"/>
      <c r="E29" s="1109"/>
      <c r="F29" s="39">
        <f>'841901-Önk saját bevételei'!E19+'841901-Önk saját bevételei'!E21</f>
        <v>0</v>
      </c>
      <c r="G29" s="39">
        <f t="shared" si="7"/>
        <v>0</v>
      </c>
      <c r="H29" s="1192">
        <v>0</v>
      </c>
      <c r="I29" s="1109">
        <v>0</v>
      </c>
      <c r="J29" s="39"/>
      <c r="K29" s="39"/>
      <c r="L29" s="39"/>
      <c r="M29" s="1109"/>
      <c r="N29" s="870"/>
      <c r="O29" s="39"/>
      <c r="P29" s="39"/>
      <c r="Q29" s="1111"/>
      <c r="R29" s="39"/>
      <c r="S29" s="39"/>
      <c r="T29" s="39"/>
      <c r="U29" s="1109"/>
      <c r="V29" s="39"/>
      <c r="W29" s="7"/>
      <c r="X29" s="7"/>
      <c r="Y29" s="7"/>
      <c r="Z29" s="7">
        <f t="shared" si="5"/>
        <v>0</v>
      </c>
      <c r="AA29" s="7">
        <f t="shared" si="6"/>
        <v>0</v>
      </c>
      <c r="AB29" s="7">
        <f t="shared" si="6"/>
        <v>0</v>
      </c>
      <c r="AC29" s="1115"/>
    </row>
    <row r="30" spans="1:29" ht="12.75">
      <c r="A30" s="6" t="s">
        <v>1110</v>
      </c>
      <c r="B30" s="39">
        <v>0</v>
      </c>
      <c r="C30" s="39">
        <f>'[1]841901-Önk saját bevételei'!F25+'[1]841901-Önk saját bevételei'!F26+'[1]841901-Önk saját bevételei'!F27+'[1]841901-Önk saját bevételei'!F28</f>
        <v>0</v>
      </c>
      <c r="D30" s="39">
        <v>0</v>
      </c>
      <c r="E30" s="1109"/>
      <c r="F30" s="39">
        <f>'841901-Önk saját bevételei'!E29</f>
        <v>9000</v>
      </c>
      <c r="G30" s="39">
        <f t="shared" si="7"/>
        <v>9000</v>
      </c>
      <c r="H30" s="39">
        <v>11832.282</v>
      </c>
      <c r="I30" s="1109">
        <f>H30/G30</f>
        <v>1.314698</v>
      </c>
      <c r="J30" s="39"/>
      <c r="K30" s="39"/>
      <c r="L30" s="39"/>
      <c r="M30" s="1109"/>
      <c r="N30" s="870"/>
      <c r="O30" s="39"/>
      <c r="P30" s="39"/>
      <c r="Q30" s="1111"/>
      <c r="R30" s="39"/>
      <c r="S30" s="39"/>
      <c r="T30" s="39"/>
      <c r="U30" s="1109"/>
      <c r="V30" s="39"/>
      <c r="W30" s="7"/>
      <c r="X30" s="7"/>
      <c r="Y30" s="7"/>
      <c r="Z30" s="7">
        <f t="shared" si="5"/>
        <v>9000</v>
      </c>
      <c r="AA30" s="7">
        <f t="shared" si="6"/>
        <v>9000</v>
      </c>
      <c r="AB30" s="7">
        <f t="shared" si="6"/>
        <v>11832.282</v>
      </c>
      <c r="AC30" s="1115">
        <f t="shared" si="1"/>
        <v>1.314698</v>
      </c>
    </row>
    <row r="31" spans="1:29" ht="12.75">
      <c r="A31" s="263" t="s">
        <v>889</v>
      </c>
      <c r="B31" s="39"/>
      <c r="C31" s="39"/>
      <c r="D31" s="39"/>
      <c r="E31" s="1109"/>
      <c r="F31" s="870"/>
      <c r="G31" s="39"/>
      <c r="H31" s="39"/>
      <c r="I31" s="1109"/>
      <c r="J31" s="39">
        <f>'841901-Önk saját bevételei'!E40</f>
        <v>130952</v>
      </c>
      <c r="K31" s="39">
        <f>J31</f>
        <v>130952</v>
      </c>
      <c r="L31" s="39">
        <v>66718.8</v>
      </c>
      <c r="M31" s="1109">
        <f>L31/K31</f>
        <v>0.509490500336001</v>
      </c>
      <c r="N31" s="39"/>
      <c r="O31" s="39"/>
      <c r="P31" s="39"/>
      <c r="Q31" s="1111"/>
      <c r="R31" s="39"/>
      <c r="S31" s="39"/>
      <c r="T31" s="39"/>
      <c r="U31" s="1109"/>
      <c r="V31" s="39"/>
      <c r="W31" s="7"/>
      <c r="X31" s="7"/>
      <c r="Y31" s="7"/>
      <c r="Z31" s="7">
        <f aca="true" t="shared" si="8" ref="Z31:AB33">+B31+J31+N31+R31+V31</f>
        <v>130952</v>
      </c>
      <c r="AA31" s="7">
        <f t="shared" si="8"/>
        <v>130952</v>
      </c>
      <c r="AB31" s="7">
        <f t="shared" si="8"/>
        <v>66718.8</v>
      </c>
      <c r="AC31" s="1115">
        <f t="shared" si="1"/>
        <v>0.509490500336001</v>
      </c>
    </row>
    <row r="32" spans="1:29" ht="25.5">
      <c r="A32" s="1044" t="s">
        <v>890</v>
      </c>
      <c r="B32" s="39"/>
      <c r="C32" s="39"/>
      <c r="D32" s="39"/>
      <c r="E32" s="1109"/>
      <c r="F32" s="870"/>
      <c r="G32" s="39"/>
      <c r="H32" s="39"/>
      <c r="I32" s="1109"/>
      <c r="J32" s="39">
        <f>'841901-Önk saját bevételei'!E51</f>
        <v>104332</v>
      </c>
      <c r="K32" s="39">
        <f aca="true" t="shared" si="9" ref="K32:K38">J32</f>
        <v>104332</v>
      </c>
      <c r="L32" s="39">
        <v>54139.391</v>
      </c>
      <c r="M32" s="1109">
        <f aca="true" t="shared" si="10" ref="M32:M38">L32/K32</f>
        <v>0.5189145324540889</v>
      </c>
      <c r="N32" s="39"/>
      <c r="O32" s="39"/>
      <c r="P32" s="39"/>
      <c r="Q32" s="1111"/>
      <c r="R32" s="39"/>
      <c r="S32" s="39"/>
      <c r="T32" s="39"/>
      <c r="U32" s="1109"/>
      <c r="V32" s="39"/>
      <c r="W32" s="7"/>
      <c r="X32" s="7"/>
      <c r="Y32" s="7"/>
      <c r="Z32" s="7">
        <f t="shared" si="8"/>
        <v>104332</v>
      </c>
      <c r="AA32" s="7">
        <f t="shared" si="8"/>
        <v>104332</v>
      </c>
      <c r="AB32" s="7">
        <f t="shared" si="8"/>
        <v>54139.391</v>
      </c>
      <c r="AC32" s="1115">
        <f t="shared" si="1"/>
        <v>0.5189145324540889</v>
      </c>
    </row>
    <row r="33" spans="1:29" ht="25.5">
      <c r="A33" s="695" t="s">
        <v>901</v>
      </c>
      <c r="B33" s="39"/>
      <c r="C33" s="39"/>
      <c r="D33" s="39"/>
      <c r="E33" s="1109"/>
      <c r="F33" s="870"/>
      <c r="G33" s="39"/>
      <c r="H33" s="39"/>
      <c r="I33" s="1109"/>
      <c r="J33" s="39">
        <f>'841901-Önk saját bevételei'!E65</f>
        <v>169380</v>
      </c>
      <c r="K33" s="39">
        <f t="shared" si="9"/>
        <v>169380</v>
      </c>
      <c r="L33" s="39">
        <v>88496.36</v>
      </c>
      <c r="M33" s="1109">
        <f t="shared" si="10"/>
        <v>0.5224723107804936</v>
      </c>
      <c r="N33" s="39"/>
      <c r="O33" s="39"/>
      <c r="P33" s="39"/>
      <c r="Q33" s="1111"/>
      <c r="R33" s="39"/>
      <c r="S33" s="39"/>
      <c r="T33" s="39"/>
      <c r="U33" s="1109"/>
      <c r="V33" s="39"/>
      <c r="W33" s="7"/>
      <c r="X33" s="7"/>
      <c r="Y33" s="7"/>
      <c r="Z33" s="7">
        <f t="shared" si="8"/>
        <v>169380</v>
      </c>
      <c r="AA33" s="7">
        <f t="shared" si="8"/>
        <v>169380</v>
      </c>
      <c r="AB33" s="7">
        <f t="shared" si="8"/>
        <v>88496.36</v>
      </c>
      <c r="AC33" s="1115">
        <f t="shared" si="1"/>
        <v>0.5224723107804936</v>
      </c>
    </row>
    <row r="34" spans="1:29" ht="25.5">
      <c r="A34" s="695" t="s">
        <v>729</v>
      </c>
      <c r="B34" s="39"/>
      <c r="C34" s="39"/>
      <c r="D34" s="39"/>
      <c r="E34" s="1109"/>
      <c r="F34" s="39"/>
      <c r="G34" s="39"/>
      <c r="H34" s="39"/>
      <c r="I34" s="1109"/>
      <c r="J34" s="39">
        <f>'841901-Önk saját bevételei'!E66</f>
        <v>6102</v>
      </c>
      <c r="K34" s="39">
        <f t="shared" si="9"/>
        <v>6102</v>
      </c>
      <c r="L34" s="39">
        <v>3051.212</v>
      </c>
      <c r="M34" s="1109">
        <f t="shared" si="10"/>
        <v>0.5000347427073091</v>
      </c>
      <c r="N34" s="39"/>
      <c r="O34" s="39"/>
      <c r="P34" s="39"/>
      <c r="Q34" s="1111"/>
      <c r="R34" s="39"/>
      <c r="S34" s="39"/>
      <c r="T34" s="39"/>
      <c r="U34" s="1109"/>
      <c r="V34" s="39"/>
      <c r="W34" s="7"/>
      <c r="X34" s="7"/>
      <c r="Y34" s="7"/>
      <c r="Z34" s="7">
        <f aca="true" t="shared" si="11" ref="Z34:Z53">+B34+F34+J34+N34+R34+V34</f>
        <v>6102</v>
      </c>
      <c r="AA34" s="7">
        <f aca="true" t="shared" si="12" ref="AA34:AA53">+C34+G34+K34+O34+S34+W34</f>
        <v>6102</v>
      </c>
      <c r="AB34" s="7">
        <f aca="true" t="shared" si="13" ref="AB34:AB53">+D34+H34+L34+P34+T34+X34</f>
        <v>3051.212</v>
      </c>
      <c r="AC34" s="1115">
        <f t="shared" si="1"/>
        <v>0.5000347427073091</v>
      </c>
    </row>
    <row r="35" spans="1:29" ht="12.75">
      <c r="A35" s="14" t="s">
        <v>52</v>
      </c>
      <c r="B35" s="870"/>
      <c r="C35" s="870"/>
      <c r="D35" s="870"/>
      <c r="E35" s="1109"/>
      <c r="F35" s="870"/>
      <c r="G35" s="870"/>
      <c r="H35" s="870"/>
      <c r="I35" s="1109"/>
      <c r="J35" s="870">
        <v>0</v>
      </c>
      <c r="K35" s="39">
        <f t="shared" si="9"/>
        <v>0</v>
      </c>
      <c r="L35" s="39">
        <f>1235+37.534+403.92+8417.087+5722.794</f>
        <v>15816.335</v>
      </c>
      <c r="M35" s="1109"/>
      <c r="N35" s="870"/>
      <c r="O35" s="870"/>
      <c r="P35" s="870"/>
      <c r="Q35" s="1111"/>
      <c r="R35" s="870"/>
      <c r="S35" s="870"/>
      <c r="T35" s="870"/>
      <c r="U35" s="1109"/>
      <c r="V35" s="870"/>
      <c r="W35" s="6"/>
      <c r="X35" s="6"/>
      <c r="Y35" s="6"/>
      <c r="Z35" s="7">
        <f t="shared" si="11"/>
        <v>0</v>
      </c>
      <c r="AA35" s="7">
        <f t="shared" si="12"/>
        <v>0</v>
      </c>
      <c r="AB35" s="7">
        <f t="shared" si="13"/>
        <v>15816.335</v>
      </c>
      <c r="AC35" s="1115">
        <v>0</v>
      </c>
    </row>
    <row r="36" spans="1:29" ht="12.75">
      <c r="A36" s="6" t="s">
        <v>1111</v>
      </c>
      <c r="B36" s="39"/>
      <c r="C36" s="39"/>
      <c r="D36" s="39"/>
      <c r="E36" s="1109"/>
      <c r="F36" s="39"/>
      <c r="G36" s="39"/>
      <c r="H36" s="39"/>
      <c r="I36" s="1109"/>
      <c r="J36" s="39"/>
      <c r="K36" s="39">
        <f t="shared" si="9"/>
        <v>0</v>
      </c>
      <c r="L36" s="39"/>
      <c r="M36" s="1109"/>
      <c r="N36" s="39"/>
      <c r="O36" s="39"/>
      <c r="P36" s="39"/>
      <c r="Q36" s="1111"/>
      <c r="R36" s="39"/>
      <c r="S36" s="39"/>
      <c r="T36" s="39"/>
      <c r="U36" s="1109"/>
      <c r="V36" s="39"/>
      <c r="W36" s="7"/>
      <c r="X36" s="7"/>
      <c r="Y36" s="7"/>
      <c r="Z36" s="7">
        <f t="shared" si="11"/>
        <v>0</v>
      </c>
      <c r="AA36" s="7">
        <f t="shared" si="12"/>
        <v>0</v>
      </c>
      <c r="AB36" s="7">
        <f t="shared" si="13"/>
        <v>0</v>
      </c>
      <c r="AC36" s="1115">
        <v>0</v>
      </c>
    </row>
    <row r="37" spans="1:29" ht="29.25" customHeight="1">
      <c r="A37" s="693" t="s">
        <v>341</v>
      </c>
      <c r="B37" s="39"/>
      <c r="C37" s="39"/>
      <c r="D37" s="39"/>
      <c r="E37" s="1109"/>
      <c r="F37" s="39"/>
      <c r="G37" s="39"/>
      <c r="H37" s="39"/>
      <c r="I37" s="1109"/>
      <c r="J37" s="39">
        <f>128897+3902+1</f>
        <v>132800</v>
      </c>
      <c r="K37" s="39">
        <f>J37+200+4188</f>
        <v>137188</v>
      </c>
      <c r="L37" s="39"/>
      <c r="M37" s="1109">
        <f t="shared" si="10"/>
        <v>0</v>
      </c>
      <c r="N37" s="39"/>
      <c r="O37" s="39"/>
      <c r="P37" s="39"/>
      <c r="Q37" s="1111"/>
      <c r="R37" s="39"/>
      <c r="S37" s="39"/>
      <c r="T37" s="39"/>
      <c r="U37" s="1109"/>
      <c r="V37" s="39"/>
      <c r="W37" s="7"/>
      <c r="X37" s="7"/>
      <c r="Y37" s="7"/>
      <c r="Z37" s="7">
        <f t="shared" si="11"/>
        <v>132800</v>
      </c>
      <c r="AA37" s="7">
        <f t="shared" si="12"/>
        <v>137188</v>
      </c>
      <c r="AB37" s="7">
        <f t="shared" si="13"/>
        <v>0</v>
      </c>
      <c r="AC37" s="1115">
        <f t="shared" si="1"/>
        <v>0</v>
      </c>
    </row>
    <row r="38" spans="1:29" ht="12.75">
      <c r="A38" s="42" t="s">
        <v>491</v>
      </c>
      <c r="B38" s="39"/>
      <c r="C38" s="39"/>
      <c r="D38" s="39"/>
      <c r="E38" s="1109"/>
      <c r="F38" s="39"/>
      <c r="G38" s="39"/>
      <c r="H38" s="39"/>
      <c r="I38" s="1109"/>
      <c r="J38" s="39">
        <f>'841126-Finanszírozási műveletek'!D22</f>
        <v>107534.49356400002</v>
      </c>
      <c r="K38" s="39">
        <f t="shared" si="9"/>
        <v>107534.49356400002</v>
      </c>
      <c r="L38" s="39">
        <v>161739.55</v>
      </c>
      <c r="M38" s="1109">
        <f t="shared" si="10"/>
        <v>1.5040713415713387</v>
      </c>
      <c r="N38" s="870"/>
      <c r="O38" s="39"/>
      <c r="P38" s="39"/>
      <c r="Q38" s="1111"/>
      <c r="R38" s="39"/>
      <c r="S38" s="39"/>
      <c r="T38" s="39"/>
      <c r="U38" s="1109"/>
      <c r="V38" s="39"/>
      <c r="W38" s="7"/>
      <c r="X38" s="7"/>
      <c r="Y38" s="7"/>
      <c r="Z38" s="7">
        <f t="shared" si="11"/>
        <v>107534.49356400002</v>
      </c>
      <c r="AA38" s="7">
        <f t="shared" si="12"/>
        <v>107534.49356400002</v>
      </c>
      <c r="AB38" s="7">
        <f t="shared" si="13"/>
        <v>161739.55</v>
      </c>
      <c r="AC38" s="1115">
        <f t="shared" si="1"/>
        <v>1.5040713415713387</v>
      </c>
    </row>
    <row r="39" spans="1:29" ht="12.75">
      <c r="A39" s="14" t="s">
        <v>458</v>
      </c>
      <c r="B39" s="39"/>
      <c r="C39" s="39"/>
      <c r="D39" s="39"/>
      <c r="E39" s="1109"/>
      <c r="F39" s="39"/>
      <c r="G39" s="39"/>
      <c r="H39" s="39"/>
      <c r="I39" s="1109"/>
      <c r="J39" s="39"/>
      <c r="K39" s="39"/>
      <c r="L39" s="39"/>
      <c r="M39" s="1109"/>
      <c r="N39" s="39">
        <f>'841126-116-Önk. igazgatás'!E150</f>
        <v>22404</v>
      </c>
      <c r="O39" s="39">
        <f>N39</f>
        <v>22404</v>
      </c>
      <c r="P39" s="39">
        <f>10556.3+664</f>
        <v>11220.3</v>
      </c>
      <c r="Q39" s="1111">
        <f>P39/O39</f>
        <v>0.5008168184252811</v>
      </c>
      <c r="R39" s="39"/>
      <c r="S39" s="39"/>
      <c r="T39" s="39"/>
      <c r="U39" s="1109"/>
      <c r="V39" s="39"/>
      <c r="W39" s="7"/>
      <c r="X39" s="7"/>
      <c r="Y39" s="7"/>
      <c r="Z39" s="7">
        <f t="shared" si="11"/>
        <v>22404</v>
      </c>
      <c r="AA39" s="7">
        <f t="shared" si="12"/>
        <v>22404</v>
      </c>
      <c r="AB39" s="7">
        <f t="shared" si="13"/>
        <v>11220.3</v>
      </c>
      <c r="AC39" s="1115">
        <f t="shared" si="1"/>
        <v>0.5008168184252811</v>
      </c>
    </row>
    <row r="40" spans="1:29" ht="12.75">
      <c r="A40" s="14" t="s">
        <v>1559</v>
      </c>
      <c r="B40" s="39"/>
      <c r="C40" s="39"/>
      <c r="D40" s="39"/>
      <c r="E40" s="1109"/>
      <c r="F40" s="39"/>
      <c r="G40" s="39"/>
      <c r="H40" s="39"/>
      <c r="I40" s="1109"/>
      <c r="J40" s="39"/>
      <c r="K40" s="39"/>
      <c r="L40" s="39"/>
      <c r="M40" s="1109"/>
      <c r="N40" s="39">
        <v>0</v>
      </c>
      <c r="O40" s="39">
        <v>0</v>
      </c>
      <c r="P40" s="39">
        <v>337.234</v>
      </c>
      <c r="Q40" s="1111"/>
      <c r="R40" s="39"/>
      <c r="S40" s="39"/>
      <c r="T40" s="39"/>
      <c r="U40" s="1109"/>
      <c r="V40" s="39"/>
      <c r="W40" s="7"/>
      <c r="X40" s="7"/>
      <c r="Y40" s="7"/>
      <c r="Z40" s="7">
        <f t="shared" si="11"/>
        <v>0</v>
      </c>
      <c r="AA40" s="7">
        <f t="shared" si="12"/>
        <v>0</v>
      </c>
      <c r="AB40" s="7">
        <f t="shared" si="13"/>
        <v>337.234</v>
      </c>
      <c r="AC40" s="1115">
        <v>0</v>
      </c>
    </row>
    <row r="41" spans="1:29" ht="12.75">
      <c r="A41" s="14" t="s">
        <v>1560</v>
      </c>
      <c r="B41" s="39"/>
      <c r="C41" s="39"/>
      <c r="D41" s="39"/>
      <c r="E41" s="1109"/>
      <c r="F41" s="39"/>
      <c r="G41" s="39"/>
      <c r="H41" s="39"/>
      <c r="I41" s="1109"/>
      <c r="J41" s="39"/>
      <c r="K41" s="39"/>
      <c r="L41" s="39"/>
      <c r="M41" s="1109"/>
      <c r="N41" s="39"/>
      <c r="O41" s="39"/>
      <c r="P41" s="39">
        <v>116.694</v>
      </c>
      <c r="Q41" s="1111"/>
      <c r="R41" s="39"/>
      <c r="S41" s="39"/>
      <c r="T41" s="39"/>
      <c r="U41" s="1109"/>
      <c r="V41" s="39"/>
      <c r="W41" s="7"/>
      <c r="X41" s="7"/>
      <c r="Y41" s="7"/>
      <c r="Z41" s="7">
        <f t="shared" si="11"/>
        <v>0</v>
      </c>
      <c r="AA41" s="7">
        <f t="shared" si="12"/>
        <v>0</v>
      </c>
      <c r="AB41" s="7">
        <f t="shared" si="13"/>
        <v>116.694</v>
      </c>
      <c r="AC41" s="1115">
        <v>0</v>
      </c>
    </row>
    <row r="42" spans="1:29" ht="12.75">
      <c r="A42" s="14" t="s">
        <v>1555</v>
      </c>
      <c r="B42" s="39">
        <v>0</v>
      </c>
      <c r="C42" s="39">
        <v>0</v>
      </c>
      <c r="D42" s="39">
        <v>3209.29</v>
      </c>
      <c r="E42" s="1109"/>
      <c r="F42" s="39"/>
      <c r="G42" s="39"/>
      <c r="H42" s="39"/>
      <c r="I42" s="1109"/>
      <c r="J42" s="39"/>
      <c r="K42" s="39"/>
      <c r="L42" s="39"/>
      <c r="M42" s="1109"/>
      <c r="N42" s="39"/>
      <c r="O42" s="39"/>
      <c r="P42" s="39"/>
      <c r="Q42" s="1111"/>
      <c r="R42" s="39"/>
      <c r="S42" s="39"/>
      <c r="T42" s="39"/>
      <c r="U42" s="1109"/>
      <c r="V42" s="39"/>
      <c r="W42" s="7"/>
      <c r="X42" s="7"/>
      <c r="Y42" s="7"/>
      <c r="Z42" s="7">
        <f t="shared" si="11"/>
        <v>0</v>
      </c>
      <c r="AA42" s="7">
        <f t="shared" si="12"/>
        <v>0</v>
      </c>
      <c r="AB42" s="7">
        <f t="shared" si="13"/>
        <v>3209.29</v>
      </c>
      <c r="AC42" s="1115">
        <v>0</v>
      </c>
    </row>
    <row r="43" spans="1:29" ht="12.75">
      <c r="A43" s="14" t="s">
        <v>1556</v>
      </c>
      <c r="B43" s="39">
        <v>0</v>
      </c>
      <c r="C43" s="39">
        <v>0</v>
      </c>
      <c r="D43" s="39">
        <v>617.499</v>
      </c>
      <c r="E43" s="1109"/>
      <c r="F43" s="39"/>
      <c r="G43" s="39"/>
      <c r="H43" s="39"/>
      <c r="I43" s="1109"/>
      <c r="J43" s="39"/>
      <c r="K43" s="39"/>
      <c r="L43" s="39"/>
      <c r="M43" s="1109"/>
      <c r="N43" s="39"/>
      <c r="O43" s="39"/>
      <c r="P43" s="39"/>
      <c r="Q43" s="1111"/>
      <c r="R43" s="39"/>
      <c r="S43" s="39"/>
      <c r="T43" s="39"/>
      <c r="U43" s="1109"/>
      <c r="V43" s="39"/>
      <c r="W43" s="7"/>
      <c r="X43" s="7"/>
      <c r="Y43" s="7"/>
      <c r="Z43" s="7">
        <f t="shared" si="11"/>
        <v>0</v>
      </c>
      <c r="AA43" s="7">
        <f t="shared" si="12"/>
        <v>0</v>
      </c>
      <c r="AB43" s="7">
        <f t="shared" si="13"/>
        <v>617.499</v>
      </c>
      <c r="AC43" s="1115">
        <v>0</v>
      </c>
    </row>
    <row r="44" spans="1:29" ht="12.75">
      <c r="A44" s="14" t="s">
        <v>139</v>
      </c>
      <c r="B44" s="39">
        <v>0</v>
      </c>
      <c r="C44" s="39">
        <v>0</v>
      </c>
      <c r="D44" s="39">
        <f>423+250</f>
        <v>673</v>
      </c>
      <c r="E44" s="1109"/>
      <c r="F44" s="39"/>
      <c r="G44" s="39"/>
      <c r="H44" s="39"/>
      <c r="I44" s="1109"/>
      <c r="J44" s="39"/>
      <c r="K44" s="39"/>
      <c r="L44" s="39"/>
      <c r="M44" s="1109"/>
      <c r="N44" s="39"/>
      <c r="O44" s="39"/>
      <c r="P44" s="39"/>
      <c r="Q44" s="1111"/>
      <c r="R44" s="39"/>
      <c r="S44" s="39"/>
      <c r="T44" s="39"/>
      <c r="U44" s="1109"/>
      <c r="V44" s="39"/>
      <c r="W44" s="7"/>
      <c r="X44" s="7"/>
      <c r="Y44" s="7"/>
      <c r="Z44" s="7">
        <f t="shared" si="11"/>
        <v>0</v>
      </c>
      <c r="AA44" s="7">
        <f t="shared" si="12"/>
        <v>0</v>
      </c>
      <c r="AB44" s="7">
        <f t="shared" si="13"/>
        <v>673</v>
      </c>
      <c r="AC44" s="1115">
        <v>0</v>
      </c>
    </row>
    <row r="45" spans="1:29" ht="12.75">
      <c r="A45" s="14" t="s">
        <v>1558</v>
      </c>
      <c r="B45" s="39">
        <v>0</v>
      </c>
      <c r="C45" s="39">
        <v>0</v>
      </c>
      <c r="D45" s="39">
        <v>1438.613</v>
      </c>
      <c r="E45" s="1109"/>
      <c r="F45" s="39"/>
      <c r="G45" s="39"/>
      <c r="H45" s="39"/>
      <c r="I45" s="1109"/>
      <c r="J45" s="39"/>
      <c r="K45" s="39"/>
      <c r="L45" s="39"/>
      <c r="M45" s="1109"/>
      <c r="N45" s="39"/>
      <c r="O45" s="39"/>
      <c r="P45" s="39"/>
      <c r="Q45" s="1111"/>
      <c r="R45" s="39"/>
      <c r="S45" s="39"/>
      <c r="T45" s="39"/>
      <c r="U45" s="1109"/>
      <c r="V45" s="39"/>
      <c r="W45" s="7"/>
      <c r="X45" s="7"/>
      <c r="Y45" s="7"/>
      <c r="Z45" s="7">
        <f t="shared" si="11"/>
        <v>0</v>
      </c>
      <c r="AA45" s="7">
        <f t="shared" si="12"/>
        <v>0</v>
      </c>
      <c r="AB45" s="7">
        <f t="shared" si="13"/>
        <v>1438.613</v>
      </c>
      <c r="AC45" s="1115">
        <v>0</v>
      </c>
    </row>
    <row r="46" spans="1:29" ht="12.75">
      <c r="A46" s="14" t="s">
        <v>1561</v>
      </c>
      <c r="B46" s="39"/>
      <c r="C46" s="39"/>
      <c r="D46" s="39"/>
      <c r="E46" s="1109"/>
      <c r="F46" s="39"/>
      <c r="G46" s="39"/>
      <c r="H46" s="39"/>
      <c r="I46" s="1109"/>
      <c r="J46" s="39"/>
      <c r="K46" s="39"/>
      <c r="L46" s="39"/>
      <c r="M46" s="1109"/>
      <c r="N46" s="39"/>
      <c r="O46" s="39"/>
      <c r="P46" s="39"/>
      <c r="Q46" s="1111"/>
      <c r="R46" s="39">
        <v>0</v>
      </c>
      <c r="S46" s="39">
        <v>0</v>
      </c>
      <c r="T46" s="39">
        <v>2100</v>
      </c>
      <c r="U46" s="1109"/>
      <c r="V46" s="39"/>
      <c r="W46" s="7"/>
      <c r="X46" s="7"/>
      <c r="Y46" s="7"/>
      <c r="Z46" s="7">
        <f t="shared" si="11"/>
        <v>0</v>
      </c>
      <c r="AA46" s="7">
        <f t="shared" si="12"/>
        <v>0</v>
      </c>
      <c r="AB46" s="7">
        <f t="shared" si="13"/>
        <v>2100</v>
      </c>
      <c r="AC46" s="1115">
        <v>0</v>
      </c>
    </row>
    <row r="47" spans="1:29" ht="12.75">
      <c r="A47" s="14" t="s">
        <v>1562</v>
      </c>
      <c r="B47" s="39"/>
      <c r="C47" s="39"/>
      <c r="D47" s="39"/>
      <c r="E47" s="1109"/>
      <c r="F47" s="39"/>
      <c r="G47" s="39"/>
      <c r="H47" s="39"/>
      <c r="I47" s="1109"/>
      <c r="J47" s="39"/>
      <c r="K47" s="39"/>
      <c r="L47" s="39"/>
      <c r="M47" s="1109"/>
      <c r="N47" s="39"/>
      <c r="O47" s="39"/>
      <c r="P47" s="39"/>
      <c r="Q47" s="1111"/>
      <c r="R47" s="39">
        <v>0</v>
      </c>
      <c r="S47" s="39">
        <v>0</v>
      </c>
      <c r="T47" s="39">
        <v>200</v>
      </c>
      <c r="U47" s="1109"/>
      <c r="V47" s="39"/>
      <c r="W47" s="7"/>
      <c r="X47" s="7"/>
      <c r="Y47" s="7"/>
      <c r="Z47" s="7">
        <f t="shared" si="11"/>
        <v>0</v>
      </c>
      <c r="AA47" s="7">
        <f t="shared" si="12"/>
        <v>0</v>
      </c>
      <c r="AB47" s="7">
        <f t="shared" si="13"/>
        <v>200</v>
      </c>
      <c r="AC47" s="1115">
        <v>0</v>
      </c>
    </row>
    <row r="48" spans="1:29" ht="12.75">
      <c r="A48" s="14" t="s">
        <v>1324</v>
      </c>
      <c r="B48" s="39">
        <v>3287</v>
      </c>
      <c r="C48" s="39">
        <v>3287</v>
      </c>
      <c r="D48" s="39">
        <f>1510.64+1700.036</f>
        <v>3210.6760000000004</v>
      </c>
      <c r="E48" s="1109">
        <f aca="true" t="shared" si="14" ref="E48:E55">D48/C48</f>
        <v>0.9767800425920293</v>
      </c>
      <c r="F48" s="39"/>
      <c r="G48" s="39"/>
      <c r="H48" s="39"/>
      <c r="I48" s="1109"/>
      <c r="J48" s="39"/>
      <c r="K48" s="39"/>
      <c r="L48" s="39"/>
      <c r="M48" s="1109"/>
      <c r="N48" s="39"/>
      <c r="O48" s="39"/>
      <c r="P48" s="39"/>
      <c r="Q48" s="1111"/>
      <c r="R48" s="39"/>
      <c r="S48" s="39"/>
      <c r="T48" s="39"/>
      <c r="U48" s="1109"/>
      <c r="V48" s="39"/>
      <c r="W48" s="7"/>
      <c r="X48" s="7"/>
      <c r="Y48" s="7"/>
      <c r="Z48" s="7">
        <f t="shared" si="11"/>
        <v>3287</v>
      </c>
      <c r="AA48" s="7">
        <f t="shared" si="12"/>
        <v>3287</v>
      </c>
      <c r="AB48" s="7">
        <f t="shared" si="13"/>
        <v>3210.6760000000004</v>
      </c>
      <c r="AC48" s="1115">
        <f t="shared" si="1"/>
        <v>0.9767800425920293</v>
      </c>
    </row>
    <row r="49" spans="1:29" ht="12.75">
      <c r="A49" s="14" t="s">
        <v>1325</v>
      </c>
      <c r="B49" s="39">
        <v>5838</v>
      </c>
      <c r="C49" s="39">
        <v>5838</v>
      </c>
      <c r="D49" s="39">
        <v>3873.403</v>
      </c>
      <c r="E49" s="1109">
        <f t="shared" si="14"/>
        <v>0.6634811579307982</v>
      </c>
      <c r="F49" s="39"/>
      <c r="G49" s="39"/>
      <c r="H49" s="39"/>
      <c r="I49" s="1109"/>
      <c r="J49" s="39"/>
      <c r="K49" s="39"/>
      <c r="L49" s="39"/>
      <c r="M49" s="1109"/>
      <c r="N49" s="39"/>
      <c r="O49" s="39"/>
      <c r="P49" s="39"/>
      <c r="Q49" s="1111"/>
      <c r="R49" s="39"/>
      <c r="S49" s="39"/>
      <c r="T49" s="39"/>
      <c r="U49" s="1109"/>
      <c r="V49" s="39"/>
      <c r="W49" s="7"/>
      <c r="X49" s="7"/>
      <c r="Y49" s="7"/>
      <c r="Z49" s="7">
        <f t="shared" si="11"/>
        <v>5838</v>
      </c>
      <c r="AA49" s="7">
        <f t="shared" si="12"/>
        <v>5838</v>
      </c>
      <c r="AB49" s="7">
        <f t="shared" si="13"/>
        <v>3873.403</v>
      </c>
      <c r="AC49" s="1115">
        <f t="shared" si="1"/>
        <v>0.6634811579307982</v>
      </c>
    </row>
    <row r="50" spans="1:29" ht="12.75">
      <c r="A50" s="14" t="s">
        <v>1326</v>
      </c>
      <c r="B50" s="39">
        <v>5664</v>
      </c>
      <c r="C50" s="39">
        <v>5664</v>
      </c>
      <c r="D50" s="39">
        <v>2630.627</v>
      </c>
      <c r="E50" s="1109">
        <f t="shared" si="14"/>
        <v>0.46444685734463276</v>
      </c>
      <c r="F50" s="39"/>
      <c r="G50" s="39"/>
      <c r="H50" s="39"/>
      <c r="I50" s="1109"/>
      <c r="J50" s="39"/>
      <c r="K50" s="39"/>
      <c r="L50" s="39"/>
      <c r="M50" s="1109"/>
      <c r="N50" s="39"/>
      <c r="O50" s="39"/>
      <c r="P50" s="39"/>
      <c r="Q50" s="1111"/>
      <c r="R50" s="39"/>
      <c r="S50" s="39"/>
      <c r="T50" s="39"/>
      <c r="U50" s="1109"/>
      <c r="V50" s="39"/>
      <c r="W50" s="7"/>
      <c r="X50" s="7"/>
      <c r="Y50" s="7"/>
      <c r="Z50" s="7">
        <f t="shared" si="11"/>
        <v>5664</v>
      </c>
      <c r="AA50" s="7">
        <f t="shared" si="12"/>
        <v>5664</v>
      </c>
      <c r="AB50" s="7">
        <f t="shared" si="13"/>
        <v>2630.627</v>
      </c>
      <c r="AC50" s="1115">
        <f t="shared" si="1"/>
        <v>0.46444685734463276</v>
      </c>
    </row>
    <row r="51" spans="1:29" ht="12.75">
      <c r="A51" s="14" t="s">
        <v>1327</v>
      </c>
      <c r="B51" s="39">
        <v>30474</v>
      </c>
      <c r="C51" s="39">
        <v>30474</v>
      </c>
      <c r="D51" s="39"/>
      <c r="E51" s="1109">
        <f t="shared" si="14"/>
        <v>0</v>
      </c>
      <c r="F51" s="39"/>
      <c r="G51" s="39"/>
      <c r="H51" s="39"/>
      <c r="I51" s="1109"/>
      <c r="J51" s="39"/>
      <c r="K51" s="39"/>
      <c r="L51" s="39"/>
      <c r="M51" s="1109"/>
      <c r="N51" s="39"/>
      <c r="O51" s="39"/>
      <c r="P51" s="39"/>
      <c r="Q51" s="1111"/>
      <c r="R51" s="39"/>
      <c r="S51" s="39"/>
      <c r="T51" s="39"/>
      <c r="U51" s="1109"/>
      <c r="V51" s="39"/>
      <c r="W51" s="7"/>
      <c r="X51" s="7"/>
      <c r="Y51" s="7"/>
      <c r="Z51" s="7">
        <f t="shared" si="11"/>
        <v>30474</v>
      </c>
      <c r="AA51" s="7">
        <f t="shared" si="12"/>
        <v>30474</v>
      </c>
      <c r="AB51" s="7">
        <f t="shared" si="13"/>
        <v>0</v>
      </c>
      <c r="AC51" s="1115">
        <f t="shared" si="1"/>
        <v>0</v>
      </c>
    </row>
    <row r="52" spans="1:29" ht="12.75">
      <c r="A52" s="14" t="s">
        <v>1328</v>
      </c>
      <c r="B52" s="39">
        <v>1708</v>
      </c>
      <c r="C52" s="39">
        <v>1708</v>
      </c>
      <c r="D52" s="39">
        <f>2.54+109.032+10.14</f>
        <v>121.712</v>
      </c>
      <c r="E52" s="1109">
        <f t="shared" si="14"/>
        <v>0.0712599531615925</v>
      </c>
      <c r="F52" s="39"/>
      <c r="G52" s="39"/>
      <c r="H52" s="39"/>
      <c r="I52" s="1109"/>
      <c r="J52" s="39"/>
      <c r="K52" s="39"/>
      <c r="L52" s="39"/>
      <c r="M52" s="1109"/>
      <c r="N52" s="39"/>
      <c r="O52" s="39"/>
      <c r="P52" s="39"/>
      <c r="Q52" s="1111"/>
      <c r="R52" s="39"/>
      <c r="S52" s="39"/>
      <c r="T52" s="39"/>
      <c r="U52" s="1109"/>
      <c r="V52" s="39"/>
      <c r="W52" s="7"/>
      <c r="X52" s="7"/>
      <c r="Y52" s="7"/>
      <c r="Z52" s="7">
        <f t="shared" si="11"/>
        <v>1708</v>
      </c>
      <c r="AA52" s="7">
        <f t="shared" si="12"/>
        <v>1708</v>
      </c>
      <c r="AB52" s="7">
        <f t="shared" si="13"/>
        <v>121.712</v>
      </c>
      <c r="AC52" s="1115">
        <f t="shared" si="1"/>
        <v>0.0712599531615925</v>
      </c>
    </row>
    <row r="53" spans="1:29" ht="12.75">
      <c r="A53" s="14" t="s">
        <v>1520</v>
      </c>
      <c r="B53" s="39">
        <v>0</v>
      </c>
      <c r="C53" s="39">
        <v>5486</v>
      </c>
      <c r="D53" s="39">
        <f>1918.74+416.965+651.902</f>
        <v>2987.607</v>
      </c>
      <c r="E53" s="1109">
        <f t="shared" si="14"/>
        <v>0.5445874954429457</v>
      </c>
      <c r="F53" s="39"/>
      <c r="G53" s="39"/>
      <c r="H53" s="39"/>
      <c r="I53" s="1109"/>
      <c r="J53" s="39"/>
      <c r="K53" s="39"/>
      <c r="L53" s="39"/>
      <c r="M53" s="1109"/>
      <c r="N53" s="39"/>
      <c r="O53" s="39"/>
      <c r="P53" s="39"/>
      <c r="Q53" s="1111"/>
      <c r="R53" s="39"/>
      <c r="S53" s="39"/>
      <c r="T53" s="39"/>
      <c r="U53" s="1109"/>
      <c r="V53" s="39"/>
      <c r="W53" s="7"/>
      <c r="X53" s="7"/>
      <c r="Y53" s="7"/>
      <c r="Z53" s="7">
        <f t="shared" si="11"/>
        <v>0</v>
      </c>
      <c r="AA53" s="7">
        <f t="shared" si="12"/>
        <v>5486</v>
      </c>
      <c r="AB53" s="7">
        <f t="shared" si="13"/>
        <v>2987.607</v>
      </c>
      <c r="AC53" s="1115">
        <f t="shared" si="1"/>
        <v>0.5445874954429457</v>
      </c>
    </row>
    <row r="54" spans="1:29" ht="12.75">
      <c r="A54" s="871" t="s">
        <v>1354</v>
      </c>
      <c r="B54" s="49">
        <f>SUM(B14:B53)</f>
        <v>46971</v>
      </c>
      <c r="C54" s="49">
        <f>SUM(C14:C53)</f>
        <v>52457</v>
      </c>
      <c r="D54" s="49">
        <f>SUM(D14:D53)</f>
        <v>25692.949</v>
      </c>
      <c r="E54" s="1109">
        <f t="shared" si="14"/>
        <v>0.48979066664124904</v>
      </c>
      <c r="F54" s="49">
        <f>SUM(F14:F39)</f>
        <v>124600</v>
      </c>
      <c r="G54" s="49">
        <f>SUM(G14:G39)</f>
        <v>124600</v>
      </c>
      <c r="H54" s="49">
        <f>SUM(H14:H39)</f>
        <v>80756.853</v>
      </c>
      <c r="I54" s="1109">
        <f>H54/G54</f>
        <v>0.6481288362760835</v>
      </c>
      <c r="J54" s="49">
        <f>SUM(J14:J39)</f>
        <v>651100.493564</v>
      </c>
      <c r="K54" s="49">
        <f>SUM(K14:K39)</f>
        <v>655488.493564</v>
      </c>
      <c r="L54" s="49">
        <f>SUM(L14:L39)</f>
        <v>389961.648</v>
      </c>
      <c r="M54" s="1110">
        <f>L54/K54</f>
        <v>0.5949176100402825</v>
      </c>
      <c r="N54" s="49">
        <f>SUM(N14:N39)</f>
        <v>172782</v>
      </c>
      <c r="O54" s="49">
        <f>SUM(O14:O39)</f>
        <v>172782</v>
      </c>
      <c r="P54" s="49">
        <f>SUM(P14:P53)</f>
        <v>86198.185</v>
      </c>
      <c r="Q54" s="1111">
        <f>P54/O54</f>
        <v>0.49888405620955883</v>
      </c>
      <c r="R54" s="49">
        <f>SUM(R14:R39)</f>
        <v>1989</v>
      </c>
      <c r="S54" s="49">
        <f>SUM(S14:S39)</f>
        <v>1989</v>
      </c>
      <c r="T54" s="49">
        <f>SUM(T14:T53)</f>
        <v>2300</v>
      </c>
      <c r="U54" s="1110">
        <f>T54/S54</f>
        <v>1.1563599798893918</v>
      </c>
      <c r="V54" s="49">
        <f>SUM(V14:V39)</f>
        <v>0</v>
      </c>
      <c r="W54" s="49">
        <f>SUM(W14:W39)</f>
        <v>0</v>
      </c>
      <c r="X54" s="49"/>
      <c r="Y54" s="49"/>
      <c r="Z54" s="49">
        <f>SUM(Z14:Z52)</f>
        <v>997442.493564</v>
      </c>
      <c r="AA54" s="49">
        <f>SUM(AA14:AA53)</f>
        <v>1007316.493564</v>
      </c>
      <c r="AB54" s="49">
        <f>SUM(AB14:AB53)</f>
        <v>584909.6350000001</v>
      </c>
      <c r="AC54" s="1115">
        <f t="shared" si="1"/>
        <v>0.5806612308416826</v>
      </c>
    </row>
    <row r="55" spans="1:29" s="10" customFormat="1" ht="12.75">
      <c r="A55" s="12" t="s">
        <v>1112</v>
      </c>
      <c r="B55" s="35">
        <f>B13+B54</f>
        <v>47621</v>
      </c>
      <c r="C55" s="35">
        <f>C13+C54</f>
        <v>53107</v>
      </c>
      <c r="D55" s="35">
        <f>D13+D54</f>
        <v>25865.134000000002</v>
      </c>
      <c r="E55" s="1109">
        <f t="shared" si="14"/>
        <v>0.487038130566592</v>
      </c>
      <c r="F55" s="35">
        <f>F13+F54</f>
        <v>124600</v>
      </c>
      <c r="G55" s="35">
        <f>G13+G54</f>
        <v>124600</v>
      </c>
      <c r="H55" s="35">
        <f>H13+H54</f>
        <v>80756.853</v>
      </c>
      <c r="I55" s="1109">
        <f>H55/G55</f>
        <v>0.6481288362760835</v>
      </c>
      <c r="J55" s="35">
        <f>J13+J54</f>
        <v>651100.493564</v>
      </c>
      <c r="K55" s="35">
        <f>K13+K54</f>
        <v>655488.493564</v>
      </c>
      <c r="L55" s="35">
        <f>L13+L54</f>
        <v>389961.648</v>
      </c>
      <c r="M55" s="1110">
        <f>L55/K55</f>
        <v>0.5949176100402825</v>
      </c>
      <c r="N55" s="35">
        <f>N13+N54</f>
        <v>219452</v>
      </c>
      <c r="O55" s="35">
        <f>O13+O54</f>
        <v>219452</v>
      </c>
      <c r="P55" s="35">
        <f>P13+P54</f>
        <v>103492.866</v>
      </c>
      <c r="Q55" s="1111">
        <f>P55/O55</f>
        <v>0.4715968229954614</v>
      </c>
      <c r="R55" s="35">
        <f>R13+R54</f>
        <v>1989</v>
      </c>
      <c r="S55" s="35">
        <f>S13+S54</f>
        <v>1989</v>
      </c>
      <c r="T55" s="35">
        <f>T13+T54</f>
        <v>2300</v>
      </c>
      <c r="U55" s="1110">
        <f>T55/S55</f>
        <v>1.1563599798893918</v>
      </c>
      <c r="V55" s="35">
        <f>V13+V54</f>
        <v>0</v>
      </c>
      <c r="W55" s="35">
        <f>W13+W54</f>
        <v>0</v>
      </c>
      <c r="X55" s="35"/>
      <c r="Y55" s="35"/>
      <c r="Z55" s="35">
        <f>Z13+Z54</f>
        <v>1044762.493564</v>
      </c>
      <c r="AA55" s="35">
        <f>AA13+AA54</f>
        <v>1054636.493564</v>
      </c>
      <c r="AB55" s="35">
        <f>AB13+AB54</f>
        <v>602376.5010000002</v>
      </c>
      <c r="AC55" s="1115">
        <f t="shared" si="1"/>
        <v>0.5711697866288992</v>
      </c>
    </row>
  </sheetData>
  <sheetProtection/>
  <mergeCells count="13">
    <mergeCell ref="AB1:AC1"/>
    <mergeCell ref="B5:E6"/>
    <mergeCell ref="F5:I6"/>
    <mergeCell ref="J5:M6"/>
    <mergeCell ref="N6:Q6"/>
    <mergeCell ref="R6:U6"/>
    <mergeCell ref="N5:U5"/>
    <mergeCell ref="V5:Y6"/>
    <mergeCell ref="Z5:AC6"/>
    <mergeCell ref="A3:AA3"/>
    <mergeCell ref="A2:Z2"/>
    <mergeCell ref="Z4:AA4"/>
    <mergeCell ref="A5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C1">
      <selection activeCell="Q3" sqref="Q3"/>
    </sheetView>
  </sheetViews>
  <sheetFormatPr defaultColWidth="9.140625" defaultRowHeight="12.75"/>
  <cols>
    <col min="2" max="2" width="30.140625" style="0" customWidth="1"/>
    <col min="3" max="6" width="12.28125" style="0" customWidth="1"/>
    <col min="7" max="7" width="7.57421875" style="0" customWidth="1"/>
    <col min="8" max="8" width="8.00390625" style="0" customWidth="1"/>
    <col min="9" max="9" width="8.28125" style="0" customWidth="1"/>
    <col min="10" max="10" width="7.140625" style="0" customWidth="1"/>
    <col min="11" max="11" width="12.28125" style="0" customWidth="1"/>
    <col min="12" max="12" width="11.57421875" style="0" customWidth="1"/>
    <col min="13" max="13" width="11.28125" style="0" customWidth="1"/>
    <col min="14" max="14" width="12.00390625" style="0" customWidth="1"/>
    <col min="15" max="15" width="12.28125" style="0" customWidth="1"/>
    <col min="16" max="16" width="11.00390625" style="0" customWidth="1"/>
    <col min="17" max="17" width="10.57421875" style="0" customWidth="1"/>
    <col min="18" max="18" width="10.7109375" style="0" customWidth="1"/>
  </cols>
  <sheetData>
    <row r="1" spans="17:18" ht="12.75">
      <c r="Q1" s="1261" t="s">
        <v>426</v>
      </c>
      <c r="R1" s="1217"/>
    </row>
    <row r="3" spans="1:18" ht="12.75">
      <c r="A3" s="25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32"/>
      <c r="Q3" s="32"/>
      <c r="R3" s="32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8">
      <c r="A5" s="1284" t="s">
        <v>1313</v>
      </c>
      <c r="B5" s="1284"/>
      <c r="C5" s="1284"/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</row>
    <row r="6" spans="1:17" ht="18">
      <c r="A6" s="1284" t="s">
        <v>1535</v>
      </c>
      <c r="B6" s="1284"/>
      <c r="C6" s="1284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</row>
    <row r="7" spans="1:17" ht="18.7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18.7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1:18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Q11" s="1303" t="s">
        <v>161</v>
      </c>
      <c r="R11" s="1303"/>
    </row>
    <row r="12" spans="1:18" ht="31.5" customHeight="1">
      <c r="A12" s="209"/>
      <c r="B12" s="1098"/>
      <c r="C12" s="1300" t="s">
        <v>342</v>
      </c>
      <c r="D12" s="1301"/>
      <c r="E12" s="1301"/>
      <c r="F12" s="1302"/>
      <c r="G12" s="1334" t="s">
        <v>343</v>
      </c>
      <c r="H12" s="1335"/>
      <c r="I12" s="1335"/>
      <c r="J12" s="1336"/>
      <c r="K12" s="1334" t="s">
        <v>344</v>
      </c>
      <c r="L12" s="1335"/>
      <c r="M12" s="1335"/>
      <c r="N12" s="1336"/>
      <c r="O12" s="1334" t="s">
        <v>1027</v>
      </c>
      <c r="P12" s="1335"/>
      <c r="Q12" s="1335"/>
      <c r="R12" s="1336"/>
    </row>
    <row r="13" spans="1:18" ht="15.75" customHeight="1">
      <c r="A13" s="220"/>
      <c r="B13" s="221" t="s">
        <v>1026</v>
      </c>
      <c r="C13" s="1097" t="s">
        <v>1514</v>
      </c>
      <c r="D13" s="1097" t="s">
        <v>1517</v>
      </c>
      <c r="E13" s="1097" t="s">
        <v>1528</v>
      </c>
      <c r="F13" s="222" t="s">
        <v>1529</v>
      </c>
      <c r="G13" s="1097" t="s">
        <v>1514</v>
      </c>
      <c r="H13" s="1097" t="s">
        <v>1517</v>
      </c>
      <c r="I13" s="222" t="s">
        <v>1528</v>
      </c>
      <c r="J13" s="222" t="s">
        <v>1529</v>
      </c>
      <c r="K13" s="1097" t="s">
        <v>1514</v>
      </c>
      <c r="L13" s="1097" t="s">
        <v>1517</v>
      </c>
      <c r="M13" s="222" t="s">
        <v>1528</v>
      </c>
      <c r="N13" s="222" t="s">
        <v>1529</v>
      </c>
      <c r="O13" s="1096" t="s">
        <v>1514</v>
      </c>
      <c r="P13" s="240" t="s">
        <v>1517</v>
      </c>
      <c r="Q13" s="223" t="s">
        <v>1528</v>
      </c>
      <c r="R13" s="45" t="s">
        <v>1529</v>
      </c>
    </row>
    <row r="14" spans="1:18" ht="15.75">
      <c r="A14" s="229"/>
      <c r="B14" s="231" t="s">
        <v>1238</v>
      </c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1"/>
      <c r="R14" s="1302"/>
    </row>
    <row r="15" spans="1:21" ht="15.75">
      <c r="A15" s="233"/>
      <c r="B15" s="241" t="s">
        <v>1124</v>
      </c>
      <c r="C15" s="1077">
        <f aca="true" t="shared" si="0" ref="C15:E19">O15-K15</f>
        <v>93272</v>
      </c>
      <c r="D15" s="1077">
        <f t="shared" si="0"/>
        <v>93272</v>
      </c>
      <c r="E15" s="1077">
        <f t="shared" si="0"/>
        <v>46514.208</v>
      </c>
      <c r="F15" s="1153">
        <f>E15/D15</f>
        <v>0.4986942276353032</v>
      </c>
      <c r="G15" s="241"/>
      <c r="H15" s="241"/>
      <c r="I15" s="241"/>
      <c r="J15" s="241"/>
      <c r="K15" s="241">
        <v>4193</v>
      </c>
      <c r="L15" s="241">
        <v>4193</v>
      </c>
      <c r="M15" s="1077">
        <f>2am!D12</f>
        <v>670.702</v>
      </c>
      <c r="N15" s="1153">
        <f>M15/L15</f>
        <v>0.159957548294777</v>
      </c>
      <c r="O15" s="268">
        <f>'841126-PHiv'!D50+'841125-115-Elsőfokú ép. hatóság'!E26+'841133-adó beszedése'!E22</f>
        <v>97465</v>
      </c>
      <c r="P15" s="268">
        <f>2am!C14</f>
        <v>97465</v>
      </c>
      <c r="Q15" s="268">
        <f>2am!D14</f>
        <v>47184.909999999996</v>
      </c>
      <c r="R15" s="1129">
        <f>Q15/P15</f>
        <v>0.4841215821063971</v>
      </c>
      <c r="U15" s="233"/>
    </row>
    <row r="16" spans="1:18" ht="15.75">
      <c r="A16" s="233"/>
      <c r="B16" s="241" t="s">
        <v>1239</v>
      </c>
      <c r="C16" s="1077">
        <f t="shared" si="0"/>
        <v>23570.13</v>
      </c>
      <c r="D16" s="1077">
        <f t="shared" si="0"/>
        <v>23570.13</v>
      </c>
      <c r="E16" s="1077">
        <f t="shared" si="0"/>
        <v>11996.569</v>
      </c>
      <c r="F16" s="1153">
        <f>E16/D16</f>
        <v>0.5089733913219825</v>
      </c>
      <c r="G16" s="241"/>
      <c r="H16" s="241"/>
      <c r="I16" s="241"/>
      <c r="J16" s="241"/>
      <c r="K16" s="241">
        <v>1059</v>
      </c>
      <c r="L16" s="241">
        <v>1059</v>
      </c>
      <c r="M16" s="1077">
        <f>2am!H12</f>
        <v>167.549</v>
      </c>
      <c r="N16" s="1153">
        <f>M16/L16</f>
        <v>0.15821435316336166</v>
      </c>
      <c r="O16" s="268">
        <f>'841126-PHiv'!D53+'841125-115-Elsőfokú ép. hatóság'!E31+'841133-adó beszedése'!E26</f>
        <v>24629.13</v>
      </c>
      <c r="P16" s="268">
        <f>2am!G14</f>
        <v>24629.13</v>
      </c>
      <c r="Q16" s="268">
        <f>2am!H14</f>
        <v>12164.118</v>
      </c>
      <c r="R16" s="1129">
        <f aca="true" t="shared" si="1" ref="R16:R32">Q16/P16</f>
        <v>0.4938915016486575</v>
      </c>
    </row>
    <row r="17" spans="1:18" ht="15.75">
      <c r="A17" s="233"/>
      <c r="B17" s="241" t="s">
        <v>1240</v>
      </c>
      <c r="C17" s="1077">
        <f t="shared" si="0"/>
        <v>31023.11</v>
      </c>
      <c r="D17" s="1077">
        <f t="shared" si="0"/>
        <v>31023.11</v>
      </c>
      <c r="E17" s="1077">
        <f t="shared" si="0"/>
        <v>16167.188</v>
      </c>
      <c r="F17" s="1153">
        <f>E17/D17</f>
        <v>0.5211336967828177</v>
      </c>
      <c r="G17" s="241"/>
      <c r="H17" s="241"/>
      <c r="I17" s="241"/>
      <c r="J17" s="241"/>
      <c r="K17" s="241">
        <v>142</v>
      </c>
      <c r="L17" s="241">
        <v>142</v>
      </c>
      <c r="M17" s="1077">
        <f>2am!L12</f>
        <v>0</v>
      </c>
      <c r="N17" s="1153">
        <f>M17/L17</f>
        <v>0</v>
      </c>
      <c r="O17" s="268">
        <f>'841126-PHiv'!D110+'841125-115-Elsőfokú ép. hatóság'!E38+'841133-adó beszedése'!E32</f>
        <v>31165.11</v>
      </c>
      <c r="P17" s="268">
        <f>2am!K14</f>
        <v>31165.11</v>
      </c>
      <c r="Q17" s="268">
        <f>2am!L14</f>
        <v>16167.188</v>
      </c>
      <c r="R17" s="1129">
        <f t="shared" si="1"/>
        <v>0.5187592150324514</v>
      </c>
    </row>
    <row r="18" spans="1:18" ht="15.75">
      <c r="A18" s="233"/>
      <c r="B18" s="241" t="s">
        <v>1399</v>
      </c>
      <c r="C18" s="1077">
        <f t="shared" si="0"/>
        <v>0</v>
      </c>
      <c r="D18" s="1077">
        <f t="shared" si="0"/>
        <v>0</v>
      </c>
      <c r="E18" s="1077">
        <f t="shared" si="0"/>
        <v>0</v>
      </c>
      <c r="F18" s="1153">
        <v>0</v>
      </c>
      <c r="G18" s="241"/>
      <c r="H18" s="241"/>
      <c r="I18" s="241"/>
      <c r="J18" s="241"/>
      <c r="K18" s="241"/>
      <c r="L18" s="241"/>
      <c r="M18" s="241"/>
      <c r="N18" s="1153"/>
      <c r="O18" s="268">
        <v>0</v>
      </c>
      <c r="P18" s="268">
        <f>2am!O14</f>
        <v>0</v>
      </c>
      <c r="Q18" s="268">
        <f>2am!P14</f>
        <v>0</v>
      </c>
      <c r="R18" s="1129">
        <v>0</v>
      </c>
    </row>
    <row r="19" spans="1:18" ht="15.75">
      <c r="A19" s="233"/>
      <c r="B19" s="241" t="s">
        <v>1241</v>
      </c>
      <c r="C19" s="1077">
        <f t="shared" si="0"/>
        <v>0</v>
      </c>
      <c r="D19" s="1077">
        <f t="shared" si="0"/>
        <v>0</v>
      </c>
      <c r="E19" s="1077">
        <f t="shared" si="0"/>
        <v>0</v>
      </c>
      <c r="F19" s="1153">
        <v>0</v>
      </c>
      <c r="G19" s="241"/>
      <c r="H19" s="241"/>
      <c r="I19" s="241"/>
      <c r="J19" s="241"/>
      <c r="K19" s="241"/>
      <c r="L19" s="241"/>
      <c r="M19" s="241"/>
      <c r="N19" s="1153"/>
      <c r="O19" s="268">
        <v>0</v>
      </c>
      <c r="P19" s="268">
        <f>2am!S14+2am!W14</f>
        <v>0</v>
      </c>
      <c r="Q19" s="268">
        <f>2am!T14+2am!X14</f>
        <v>0</v>
      </c>
      <c r="R19" s="1129">
        <v>0</v>
      </c>
    </row>
    <row r="20" spans="1:18" ht="15.75">
      <c r="A20" s="220"/>
      <c r="B20" s="223" t="s">
        <v>1549</v>
      </c>
      <c r="C20" s="1078">
        <f>SUM(C15:C19)</f>
        <v>147865.24</v>
      </c>
      <c r="D20" s="1078">
        <f>SUM(D15:D19)</f>
        <v>147865.24</v>
      </c>
      <c r="E20" s="1078">
        <f>SUM(E15:E19)</f>
        <v>74677.965</v>
      </c>
      <c r="F20" s="1153">
        <f>E20/D20</f>
        <v>0.5050407046307841</v>
      </c>
      <c r="G20" s="223">
        <v>0</v>
      </c>
      <c r="H20" s="223"/>
      <c r="I20" s="223"/>
      <c r="J20" s="223"/>
      <c r="K20" s="1078">
        <f>SUM(K15:K19)</f>
        <v>5394</v>
      </c>
      <c r="L20" s="1078">
        <f>SUM(L15:L19)</f>
        <v>5394</v>
      </c>
      <c r="M20" s="1078">
        <f>SUM(M15:M19)</f>
        <v>838.251</v>
      </c>
      <c r="N20" s="1153">
        <f>M20/L20</f>
        <v>0.15540433815350388</v>
      </c>
      <c r="O20" s="235">
        <f>SUM(O15:O19)</f>
        <v>153259.24</v>
      </c>
      <c r="P20" s="235">
        <f>SUM(P15:P19)</f>
        <v>153259.24</v>
      </c>
      <c r="Q20" s="235">
        <f>SUM(Q15:Q19)</f>
        <v>75516.216</v>
      </c>
      <c r="R20" s="1129">
        <f t="shared" si="1"/>
        <v>0.4927351590677339</v>
      </c>
    </row>
    <row r="21" spans="1:18" ht="15.75">
      <c r="A21" s="220"/>
      <c r="B21" s="1190" t="s">
        <v>1546</v>
      </c>
      <c r="C21" s="241">
        <v>0</v>
      </c>
      <c r="D21" s="241">
        <v>0</v>
      </c>
      <c r="E21" s="241">
        <v>328</v>
      </c>
      <c r="F21" s="1153">
        <v>0</v>
      </c>
      <c r="G21" s="241"/>
      <c r="H21" s="241"/>
      <c r="I21" s="241"/>
      <c r="J21" s="241"/>
      <c r="K21" s="241">
        <v>0</v>
      </c>
      <c r="L21" s="241">
        <v>0</v>
      </c>
      <c r="M21" s="241">
        <v>0</v>
      </c>
      <c r="N21" s="1153">
        <v>0</v>
      </c>
      <c r="O21" s="241">
        <v>0</v>
      </c>
      <c r="P21" s="241">
        <v>0</v>
      </c>
      <c r="Q21" s="241">
        <v>328</v>
      </c>
      <c r="R21" s="1189">
        <v>0</v>
      </c>
    </row>
    <row r="22" spans="1:18" ht="15.75">
      <c r="A22" s="220"/>
      <c r="B22" s="1188" t="s">
        <v>1550</v>
      </c>
      <c r="C22" s="1078">
        <f>SUM(C20:C21)</f>
        <v>147865.24</v>
      </c>
      <c r="D22" s="1078">
        <f>SUM(D20:D21)</f>
        <v>147865.24</v>
      </c>
      <c r="E22" s="1078">
        <f>SUM(E20:E21)</f>
        <v>75005.965</v>
      </c>
      <c r="F22" s="1187">
        <f>E22/D22</f>
        <v>0.5072589406408159</v>
      </c>
      <c r="G22" s="223"/>
      <c r="H22" s="223"/>
      <c r="I22" s="223"/>
      <c r="J22" s="223"/>
      <c r="K22" s="1078">
        <f>SUM(K20:K21)</f>
        <v>5394</v>
      </c>
      <c r="L22" s="1078">
        <f>SUM(L20:L21)</f>
        <v>5394</v>
      </c>
      <c r="M22" s="1078">
        <f>SUM(M20:M21)</f>
        <v>838.251</v>
      </c>
      <c r="N22" s="1187">
        <f>M22/L22</f>
        <v>0.15540433815350388</v>
      </c>
      <c r="O22" s="1078">
        <f>SUM(O20:O21)</f>
        <v>153259.24</v>
      </c>
      <c r="P22" s="1078">
        <f>SUM(P20:P21)</f>
        <v>153259.24</v>
      </c>
      <c r="Q22" s="1078">
        <f>SUM(Q20:Q21)</f>
        <v>75844.216</v>
      </c>
      <c r="R22" s="1191">
        <f>Q22/P22</f>
        <v>0.49487532366727127</v>
      </c>
    </row>
    <row r="23" spans="1:18" ht="15.75">
      <c r="A23" s="233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3"/>
    </row>
    <row r="24" spans="1:18" ht="15.75">
      <c r="A24" s="233"/>
      <c r="B24" s="1344" t="s">
        <v>1243</v>
      </c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6"/>
    </row>
    <row r="25" spans="1:18" ht="15.75">
      <c r="A25" s="233"/>
      <c r="B25" s="146" t="s">
        <v>55</v>
      </c>
      <c r="C25" s="324">
        <v>0</v>
      </c>
      <c r="D25" s="324">
        <v>0</v>
      </c>
      <c r="E25" s="324"/>
      <c r="F25" s="1158"/>
      <c r="G25" s="324">
        <v>0</v>
      </c>
      <c r="H25" s="324">
        <v>0</v>
      </c>
      <c r="I25" s="324"/>
      <c r="J25" s="324"/>
      <c r="K25" s="324">
        <v>650</v>
      </c>
      <c r="L25" s="324">
        <v>650</v>
      </c>
      <c r="M25" s="1079">
        <f>1am!D8</f>
        <v>172.185</v>
      </c>
      <c r="N25" s="1158">
        <f>M25/L25</f>
        <v>0.2649</v>
      </c>
      <c r="O25" s="268">
        <f>1am!B13</f>
        <v>650</v>
      </c>
      <c r="P25" s="268">
        <f>1am!C13</f>
        <v>650</v>
      </c>
      <c r="Q25" s="268">
        <f>1am!D13</f>
        <v>172.185</v>
      </c>
      <c r="R25" s="1129">
        <f t="shared" si="1"/>
        <v>0.2649</v>
      </c>
    </row>
    <row r="26" spans="1:18" ht="15.75">
      <c r="A26" s="233"/>
      <c r="B26" s="241" t="s">
        <v>1402</v>
      </c>
      <c r="C26" s="1077">
        <v>46670</v>
      </c>
      <c r="D26" s="1077">
        <v>46670</v>
      </c>
      <c r="E26" s="1077">
        <f>Q26-M26</f>
        <v>17294.681</v>
      </c>
      <c r="F26" s="1158">
        <f aca="true" t="shared" si="2" ref="F26:F32">E26/D26</f>
        <v>0.3705738375830298</v>
      </c>
      <c r="G26" s="241">
        <v>0</v>
      </c>
      <c r="H26" s="241">
        <v>0</v>
      </c>
      <c r="I26" s="241"/>
      <c r="J26" s="241"/>
      <c r="K26" s="241">
        <v>0</v>
      </c>
      <c r="L26" s="241">
        <v>0</v>
      </c>
      <c r="M26" s="241">
        <v>0</v>
      </c>
      <c r="N26" s="1158"/>
      <c r="O26" s="268">
        <f>1am!N13</f>
        <v>46670</v>
      </c>
      <c r="P26" s="268">
        <f>1am!O13</f>
        <v>46670</v>
      </c>
      <c r="Q26" s="268">
        <f>1am!P13</f>
        <v>17294.681</v>
      </c>
      <c r="R26" s="1129">
        <f t="shared" si="1"/>
        <v>0.3705738375830298</v>
      </c>
    </row>
    <row r="27" spans="1:18" ht="15.75">
      <c r="A27" s="233"/>
      <c r="B27" s="241" t="s">
        <v>1400</v>
      </c>
      <c r="C27" s="1078">
        <f>O27-K27</f>
        <v>101195.23999999999</v>
      </c>
      <c r="D27" s="1078">
        <f>P27-L27</f>
        <v>101195.23999999999</v>
      </c>
      <c r="E27" s="1078">
        <f>Q27-M27</f>
        <v>70189.934</v>
      </c>
      <c r="F27" s="1158">
        <f t="shared" si="2"/>
        <v>0.6936090472239603</v>
      </c>
      <c r="G27" s="241">
        <v>0</v>
      </c>
      <c r="H27" s="241">
        <v>0</v>
      </c>
      <c r="I27" s="241"/>
      <c r="J27" s="241"/>
      <c r="K27" s="1078">
        <f>K20-K25</f>
        <v>4744</v>
      </c>
      <c r="L27" s="1078">
        <f>L20-L25</f>
        <v>4744</v>
      </c>
      <c r="M27" s="1078">
        <f>M20-M25</f>
        <v>666.066</v>
      </c>
      <c r="N27" s="1158">
        <f aca="true" t="shared" si="3" ref="N27:N32">M27/L27</f>
        <v>0.14040177065767287</v>
      </c>
      <c r="O27" s="235">
        <f>O32-O26-O25</f>
        <v>105939.23999999999</v>
      </c>
      <c r="P27" s="235">
        <f>P32-P26-P25</f>
        <v>105939.23999999999</v>
      </c>
      <c r="Q27" s="235">
        <v>70856</v>
      </c>
      <c r="R27" s="1129">
        <f t="shared" si="1"/>
        <v>0.668836212153306</v>
      </c>
    </row>
    <row r="28" spans="1:18" ht="15.75">
      <c r="A28" s="233"/>
      <c r="B28" s="241" t="s">
        <v>529</v>
      </c>
      <c r="C28" s="1077">
        <f>C27</f>
        <v>101195.23999999999</v>
      </c>
      <c r="D28" s="1077">
        <f>D27</f>
        <v>101195.23999999999</v>
      </c>
      <c r="E28" s="1077"/>
      <c r="F28" s="1158">
        <f t="shared" si="2"/>
        <v>0</v>
      </c>
      <c r="G28" s="241">
        <v>0</v>
      </c>
      <c r="H28" s="241">
        <v>0</v>
      </c>
      <c r="I28" s="241"/>
      <c r="J28" s="241"/>
      <c r="K28" s="1077">
        <v>4686</v>
      </c>
      <c r="L28" s="1077">
        <v>4686</v>
      </c>
      <c r="M28" s="1077"/>
      <c r="N28" s="1158">
        <f t="shared" si="3"/>
        <v>0</v>
      </c>
      <c r="O28" s="268">
        <f>C28+G28+K28</f>
        <v>105881.23999999999</v>
      </c>
      <c r="P28" s="268">
        <f>D28+H28+L28</f>
        <v>105881.23999999999</v>
      </c>
      <c r="Q28" s="268"/>
      <c r="R28" s="1129">
        <f t="shared" si="1"/>
        <v>0</v>
      </c>
    </row>
    <row r="29" spans="1:18" ht="15.75">
      <c r="A29" s="233"/>
      <c r="B29" s="241"/>
      <c r="C29" s="241"/>
      <c r="D29" s="241"/>
      <c r="E29" s="241"/>
      <c r="F29" s="1158"/>
      <c r="G29" s="241"/>
      <c r="H29" s="241"/>
      <c r="I29" s="241"/>
      <c r="J29" s="241"/>
      <c r="K29" s="1078"/>
      <c r="L29" s="1078"/>
      <c r="M29" s="1078"/>
      <c r="N29" s="1158"/>
      <c r="O29" s="268"/>
      <c r="P29" s="242"/>
      <c r="Q29" s="241"/>
      <c r="R29" s="1129"/>
    </row>
    <row r="30" spans="1:18" s="10" customFormat="1" ht="15.75">
      <c r="A30" s="220"/>
      <c r="B30" s="223" t="s">
        <v>1552</v>
      </c>
      <c r="C30" s="1078">
        <f>SUM(C25:C27)</f>
        <v>147865.24</v>
      </c>
      <c r="D30" s="1078">
        <f>SUM(D25:D27)</f>
        <v>147865.24</v>
      </c>
      <c r="E30" s="1078">
        <f>SUM(E25:E27)</f>
        <v>87484.61499999999</v>
      </c>
      <c r="F30" s="1158">
        <f t="shared" si="2"/>
        <v>0.591650985721864</v>
      </c>
      <c r="G30" s="223"/>
      <c r="H30" s="223"/>
      <c r="I30" s="223"/>
      <c r="J30" s="223"/>
      <c r="K30" s="1078">
        <f>SUM(K25:K27)</f>
        <v>5394</v>
      </c>
      <c r="L30" s="1078">
        <f>SUM(L25:L27)</f>
        <v>5394</v>
      </c>
      <c r="M30" s="1078">
        <f>SUM(M25:M27)</f>
        <v>838.251</v>
      </c>
      <c r="N30" s="1158">
        <f t="shared" si="3"/>
        <v>0.15540433815350388</v>
      </c>
      <c r="O30" s="1078">
        <f>SUM(O25:O27)</f>
        <v>153259.24</v>
      </c>
      <c r="P30" s="1078">
        <f>SUM(P25:P27)</f>
        <v>153259.24</v>
      </c>
      <c r="Q30" s="1078">
        <f>SUM(Q25:Q27)</f>
        <v>88322.86600000001</v>
      </c>
      <c r="R30" s="1112">
        <f t="shared" si="1"/>
        <v>0.5762971681185423</v>
      </c>
    </row>
    <row r="31" spans="1:18" ht="15.75">
      <c r="A31" s="233"/>
      <c r="B31" s="241" t="s">
        <v>1553</v>
      </c>
      <c r="C31" s="241">
        <v>0</v>
      </c>
      <c r="D31" s="241">
        <v>0</v>
      </c>
      <c r="E31" s="241">
        <f>Q31</f>
        <v>5</v>
      </c>
      <c r="F31" s="1158">
        <v>0</v>
      </c>
      <c r="G31" s="241"/>
      <c r="H31" s="241"/>
      <c r="I31" s="241"/>
      <c r="J31" s="241"/>
      <c r="K31" s="241">
        <v>0</v>
      </c>
      <c r="L31" s="241">
        <v>0</v>
      </c>
      <c r="M31" s="241">
        <v>0</v>
      </c>
      <c r="N31" s="1158">
        <v>0</v>
      </c>
      <c r="O31" s="1080">
        <v>0</v>
      </c>
      <c r="P31" s="1080">
        <v>0</v>
      </c>
      <c r="Q31" s="223">
        <v>5</v>
      </c>
      <c r="R31" s="1129">
        <v>0</v>
      </c>
    </row>
    <row r="32" spans="1:18" ht="15.75">
      <c r="A32" s="220"/>
      <c r="B32" s="223" t="s">
        <v>1247</v>
      </c>
      <c r="C32" s="1078">
        <f>C26+C27</f>
        <v>147865.24</v>
      </c>
      <c r="D32" s="1078">
        <f>D26+D27</f>
        <v>147865.24</v>
      </c>
      <c r="E32" s="1078">
        <f>SUM(E30:E31)</f>
        <v>87489.61499999999</v>
      </c>
      <c r="F32" s="1158">
        <f t="shared" si="2"/>
        <v>0.5916848002951877</v>
      </c>
      <c r="G32" s="1078">
        <v>0</v>
      </c>
      <c r="H32" s="1078">
        <v>0</v>
      </c>
      <c r="I32" s="1078"/>
      <c r="J32" s="1078"/>
      <c r="K32" s="1078">
        <f>K26+K27+K25</f>
        <v>5394</v>
      </c>
      <c r="L32" s="1078">
        <f>L26+L27+L25</f>
        <v>5394</v>
      </c>
      <c r="M32" s="1078">
        <f>M26+M27+M25</f>
        <v>838.251</v>
      </c>
      <c r="N32" s="1158">
        <f t="shared" si="3"/>
        <v>0.15540433815350388</v>
      </c>
      <c r="O32" s="235">
        <f>O20</f>
        <v>153259.24</v>
      </c>
      <c r="P32" s="235">
        <f>P20</f>
        <v>153259.24</v>
      </c>
      <c r="Q32" s="235">
        <f>SUM(Q30:Q31)</f>
        <v>88327.86600000001</v>
      </c>
      <c r="R32" s="1112">
        <f t="shared" si="1"/>
        <v>0.576329792578901</v>
      </c>
    </row>
  </sheetData>
  <sheetProtection/>
  <mergeCells count="12">
    <mergeCell ref="A5:Q5"/>
    <mergeCell ref="A6:Q6"/>
    <mergeCell ref="Q11:R11"/>
    <mergeCell ref="B3:O3"/>
    <mergeCell ref="B23:R23"/>
    <mergeCell ref="B24:R24"/>
    <mergeCell ref="Q1:R1"/>
    <mergeCell ref="C12:F12"/>
    <mergeCell ref="G12:J12"/>
    <mergeCell ref="K12:N12"/>
    <mergeCell ref="O12:R12"/>
    <mergeCell ref="C14:R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SheetLayoutView="100" zoomScalePageLayoutView="0" workbookViewId="0" topLeftCell="E43">
      <selection activeCell="E45" sqref="E45"/>
    </sheetView>
  </sheetViews>
  <sheetFormatPr defaultColWidth="9.140625" defaultRowHeight="12.75"/>
  <cols>
    <col min="1" max="1" width="80.00390625" style="0" bestFit="1" customWidth="1"/>
    <col min="2" max="2" width="12.140625" style="0" customWidth="1"/>
    <col min="3" max="3" width="13.8515625" style="0" customWidth="1"/>
    <col min="4" max="4" width="11.00390625" style="0" customWidth="1"/>
    <col min="5" max="5" width="12.00390625" style="0" customWidth="1"/>
    <col min="6" max="7" width="10.421875" style="0" customWidth="1"/>
    <col min="8" max="8" width="10.140625" style="0" customWidth="1"/>
    <col min="9" max="9" width="8.7109375" style="0" customWidth="1"/>
    <col min="10" max="10" width="12.28125" style="0" customWidth="1"/>
    <col min="11" max="11" width="15.00390625" style="0" customWidth="1"/>
    <col min="12" max="12" width="10.7109375" style="0" customWidth="1"/>
    <col min="13" max="13" width="11.57421875" style="0" customWidth="1"/>
    <col min="14" max="14" width="11.421875" style="0" customWidth="1"/>
    <col min="15" max="15" width="11.57421875" style="0" customWidth="1"/>
    <col min="16" max="16" width="11.00390625" style="0" customWidth="1"/>
    <col min="17" max="17" width="12.00390625" style="0" customWidth="1"/>
    <col min="18" max="18" width="10.57421875" style="0" customWidth="1"/>
    <col min="21" max="21" width="11.00390625" style="0" customWidth="1"/>
    <col min="22" max="22" width="10.140625" style="0" customWidth="1"/>
    <col min="23" max="23" width="12.28125" style="0" customWidth="1"/>
  </cols>
  <sheetData>
    <row r="1" spans="16:17" ht="12.75">
      <c r="P1" s="1281" t="s">
        <v>551</v>
      </c>
      <c r="Q1" s="1259"/>
    </row>
    <row r="3" spans="1:17" ht="12.75">
      <c r="A3" s="1214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</row>
    <row r="5" spans="1:17" ht="27" customHeight="1">
      <c r="A5" s="1347" t="s">
        <v>1539</v>
      </c>
      <c r="B5" s="1347"/>
      <c r="C5" s="1347"/>
      <c r="D5" s="1347"/>
      <c r="E5" s="1347"/>
      <c r="F5" s="1347"/>
      <c r="G5" s="1347"/>
      <c r="H5" s="1347"/>
      <c r="I5" s="1347"/>
      <c r="J5" s="1347"/>
      <c r="K5" s="1347"/>
      <c r="L5" s="1347"/>
      <c r="M5" s="1347"/>
      <c r="N5" s="1347"/>
      <c r="O5" s="1347"/>
      <c r="P5" s="1347"/>
      <c r="Q5" s="1347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P7" s="894"/>
      <c r="Q7" s="700" t="s">
        <v>161</v>
      </c>
    </row>
    <row r="8" spans="1:17" ht="31.5" customHeight="1">
      <c r="A8" s="1101"/>
      <c r="B8" s="1300" t="s">
        <v>342</v>
      </c>
      <c r="C8" s="1301"/>
      <c r="D8" s="1301"/>
      <c r="E8" s="1302"/>
      <c r="F8" s="1334" t="s">
        <v>343</v>
      </c>
      <c r="G8" s="1335"/>
      <c r="H8" s="1335"/>
      <c r="I8" s="1336"/>
      <c r="J8" s="1334" t="s">
        <v>344</v>
      </c>
      <c r="K8" s="1335"/>
      <c r="L8" s="1335"/>
      <c r="M8" s="1336"/>
      <c r="N8" s="1334" t="s">
        <v>1027</v>
      </c>
      <c r="O8" s="1335"/>
      <c r="P8" s="1335"/>
      <c r="Q8" s="1336"/>
    </row>
    <row r="9" spans="1:23" ht="12.75" customHeight="1">
      <c r="A9" s="53" t="s">
        <v>1026</v>
      </c>
      <c r="B9" s="1099" t="s">
        <v>1514</v>
      </c>
      <c r="C9" s="1100" t="s">
        <v>1517</v>
      </c>
      <c r="D9" s="1162" t="s">
        <v>1528</v>
      </c>
      <c r="E9" s="1162" t="s">
        <v>1529</v>
      </c>
      <c r="F9" s="1099" t="s">
        <v>1514</v>
      </c>
      <c r="G9" s="1100" t="s">
        <v>1517</v>
      </c>
      <c r="H9" s="1162" t="s">
        <v>1528</v>
      </c>
      <c r="I9" s="1162" t="s">
        <v>1529</v>
      </c>
      <c r="J9" s="188" t="s">
        <v>1514</v>
      </c>
      <c r="K9" s="188" t="s">
        <v>1517</v>
      </c>
      <c r="L9" s="17" t="s">
        <v>1528</v>
      </c>
      <c r="M9" s="17" t="s">
        <v>1529</v>
      </c>
      <c r="N9" s="1099" t="s">
        <v>1514</v>
      </c>
      <c r="O9" s="1100" t="s">
        <v>1517</v>
      </c>
      <c r="P9" s="17" t="s">
        <v>1528</v>
      </c>
      <c r="Q9" s="17" t="s">
        <v>1529</v>
      </c>
      <c r="R9" t="s">
        <v>870</v>
      </c>
      <c r="S9" t="s">
        <v>871</v>
      </c>
      <c r="T9" t="s">
        <v>927</v>
      </c>
      <c r="U9" t="s">
        <v>872</v>
      </c>
      <c r="V9" t="s">
        <v>1027</v>
      </c>
      <c r="W9" t="s">
        <v>875</v>
      </c>
    </row>
    <row r="10" spans="1:17" ht="15.75">
      <c r="A10" s="53"/>
      <c r="B10" s="232"/>
      <c r="C10" s="232"/>
      <c r="D10" s="232"/>
      <c r="E10" s="232"/>
      <c r="F10" s="1084"/>
      <c r="G10" s="1084"/>
      <c r="H10" s="1084"/>
      <c r="I10" s="1084"/>
      <c r="J10" s="1084"/>
      <c r="K10" s="1084"/>
      <c r="L10" s="1084"/>
      <c r="M10" s="1084"/>
      <c r="N10" s="1085"/>
      <c r="P10" s="6"/>
      <c r="Q10" s="6"/>
    </row>
    <row r="11" spans="1:24" ht="12.75">
      <c r="A11" s="46" t="s">
        <v>516</v>
      </c>
      <c r="B11" s="35">
        <f aca="true" t="shared" si="0" ref="B11:P11">+B12+B13+B14+B15+B16</f>
        <v>633109.28</v>
      </c>
      <c r="C11" s="35">
        <f t="shared" si="0"/>
        <v>645724.28</v>
      </c>
      <c r="D11" s="35">
        <f t="shared" si="0"/>
        <v>217517.91000000003</v>
      </c>
      <c r="E11" s="1112">
        <f>D11/C11</f>
        <v>0.33685880605263907</v>
      </c>
      <c r="F11" s="35">
        <f t="shared" si="0"/>
        <v>83509.272</v>
      </c>
      <c r="G11" s="35">
        <f t="shared" si="0"/>
        <v>80768.272</v>
      </c>
      <c r="H11" s="35">
        <f t="shared" si="0"/>
        <v>28634.886999999995</v>
      </c>
      <c r="I11" s="1112">
        <f>H11/G11</f>
        <v>0.3545313808372673</v>
      </c>
      <c r="J11" s="35">
        <f t="shared" si="0"/>
        <v>127086</v>
      </c>
      <c r="K11" s="35">
        <f t="shared" si="0"/>
        <v>127086</v>
      </c>
      <c r="L11" s="35">
        <f t="shared" si="0"/>
        <v>666.066</v>
      </c>
      <c r="M11" s="1112">
        <f>L11/K11</f>
        <v>0.005241065105519097</v>
      </c>
      <c r="N11" s="35">
        <f t="shared" si="0"/>
        <v>843704.552</v>
      </c>
      <c r="O11" s="1163">
        <f t="shared" si="0"/>
        <v>853578.552</v>
      </c>
      <c r="P11" s="1163">
        <f t="shared" si="0"/>
        <v>464604.635</v>
      </c>
      <c r="Q11" s="1112">
        <f>P11/O11</f>
        <v>0.5443021429151373</v>
      </c>
      <c r="R11" s="1175">
        <f aca="true" t="shared" si="1" ref="R11:W11">+R12+R13+R14+R15+R16</f>
        <v>101280</v>
      </c>
      <c r="S11" s="35">
        <f t="shared" si="1"/>
        <v>77556</v>
      </c>
      <c r="T11" s="35">
        <f t="shared" si="1"/>
        <v>37142</v>
      </c>
      <c r="U11" s="35">
        <f t="shared" si="1"/>
        <v>153259.24</v>
      </c>
      <c r="V11" s="35">
        <f t="shared" si="1"/>
        <v>369237.24</v>
      </c>
      <c r="W11" s="35">
        <f t="shared" si="1"/>
        <v>937400.5519999999</v>
      </c>
      <c r="X11" s="192">
        <f>SUM(X12:X16)</f>
        <v>930497</v>
      </c>
    </row>
    <row r="12" spans="1:24" ht="12.75">
      <c r="A12" s="272" t="s">
        <v>517</v>
      </c>
      <c r="B12" s="618">
        <f aca="true" t="shared" si="2" ref="B12:D14">N12-F12</f>
        <v>152318</v>
      </c>
      <c r="C12" s="618">
        <f t="shared" si="2"/>
        <v>156924</v>
      </c>
      <c r="D12" s="618">
        <f t="shared" si="2"/>
        <v>65321.398</v>
      </c>
      <c r="E12" s="1112">
        <f aca="true" t="shared" si="3" ref="E12:E45">D12/C12</f>
        <v>0.4162613621880656</v>
      </c>
      <c r="F12" s="618">
        <v>1200</v>
      </c>
      <c r="G12" s="618">
        <v>1200</v>
      </c>
      <c r="H12" s="618">
        <f>2am!D19</f>
        <v>2821</v>
      </c>
      <c r="I12" s="1112">
        <f>H12/G12</f>
        <v>2.3508333333333336</v>
      </c>
      <c r="J12" s="618">
        <v>0</v>
      </c>
      <c r="K12" s="618">
        <v>0</v>
      </c>
      <c r="L12" s="618">
        <v>0</v>
      </c>
      <c r="M12" s="1112">
        <v>0</v>
      </c>
      <c r="N12" s="15">
        <f>2am!B40</f>
        <v>153518</v>
      </c>
      <c r="O12" s="1164">
        <f>2am!C40</f>
        <v>158124</v>
      </c>
      <c r="P12" s="1164">
        <f>2am!D40</f>
        <v>68142.398</v>
      </c>
      <c r="Q12" s="1112">
        <f aca="true" t="shared" si="4" ref="Q12:Q65">P12/O12</f>
        <v>0.43094279173307026</v>
      </c>
      <c r="R12" s="8">
        <f>'10m'!O15</f>
        <v>50864</v>
      </c>
      <c r="S12" s="8">
        <f>'11m'!O16</f>
        <v>35525</v>
      </c>
      <c r="T12" s="8">
        <f>'12m'!O15</f>
        <v>20128</v>
      </c>
      <c r="U12" s="8">
        <f>'13m'!O15</f>
        <v>97465</v>
      </c>
      <c r="V12" s="8">
        <f>SUM(R12:U12)</f>
        <v>203982</v>
      </c>
      <c r="W12" s="8">
        <f>N12+V12</f>
        <v>357500</v>
      </c>
      <c r="X12">
        <v>353720</v>
      </c>
    </row>
    <row r="13" spans="1:24" ht="12.75">
      <c r="A13" s="272" t="s">
        <v>518</v>
      </c>
      <c r="B13" s="618">
        <f t="shared" si="2"/>
        <v>25525.96</v>
      </c>
      <c r="C13" s="618">
        <f t="shared" si="2"/>
        <v>26757.96</v>
      </c>
      <c r="D13" s="618">
        <f t="shared" si="2"/>
        <v>10371.776</v>
      </c>
      <c r="E13" s="1112">
        <f t="shared" si="3"/>
        <v>0.3876146014120658</v>
      </c>
      <c r="F13" s="618">
        <v>324</v>
      </c>
      <c r="G13" s="618">
        <v>324</v>
      </c>
      <c r="H13" s="618">
        <f>2am!H19</f>
        <v>430.569</v>
      </c>
      <c r="I13" s="1112">
        <f>H13/G13</f>
        <v>1.3289166666666667</v>
      </c>
      <c r="J13" s="618">
        <v>0</v>
      </c>
      <c r="K13" s="618">
        <v>0</v>
      </c>
      <c r="L13" s="618">
        <v>0</v>
      </c>
      <c r="M13" s="1112">
        <v>0</v>
      </c>
      <c r="N13" s="15">
        <f>2am!F40</f>
        <v>25849.96</v>
      </c>
      <c r="O13" s="1164">
        <f>2am!G40</f>
        <v>27081.96</v>
      </c>
      <c r="P13" s="1164">
        <f>2am!H40</f>
        <v>10802.345</v>
      </c>
      <c r="Q13" s="1112">
        <f t="shared" si="4"/>
        <v>0.39887604146819505</v>
      </c>
      <c r="R13" s="8">
        <f>'10m'!O16</f>
        <v>13672</v>
      </c>
      <c r="S13" s="8">
        <f>'11m'!O17</f>
        <v>9545</v>
      </c>
      <c r="T13" s="8">
        <f>'12m'!O16</f>
        <v>5180</v>
      </c>
      <c r="U13" s="8">
        <f>'13m'!O16</f>
        <v>24629.13</v>
      </c>
      <c r="V13" s="8">
        <f>SUM(R13:U13)</f>
        <v>53026.130000000005</v>
      </c>
      <c r="W13" s="8">
        <f>N13+V13</f>
        <v>78876.09</v>
      </c>
      <c r="X13">
        <v>77855</v>
      </c>
    </row>
    <row r="14" spans="1:24" ht="12.75">
      <c r="A14" s="272" t="s">
        <v>520</v>
      </c>
      <c r="B14" s="618">
        <f t="shared" si="2"/>
        <v>116814.08000000002</v>
      </c>
      <c r="C14" s="618">
        <f t="shared" si="2"/>
        <v>131462.08000000002</v>
      </c>
      <c r="D14" s="618">
        <f t="shared" si="2"/>
        <v>111378.73600000002</v>
      </c>
      <c r="E14" s="1112">
        <f t="shared" si="3"/>
        <v>0.8472308973051392</v>
      </c>
      <c r="F14" s="618">
        <f>2am!J28+2am!J30+2am!J33+2am!J34+2am!J35</f>
        <v>47686.272</v>
      </c>
      <c r="G14" s="618">
        <f>2am!K28+2am!K30+2am!K33+2am!K34+2am!K35</f>
        <v>47686.272</v>
      </c>
      <c r="H14" s="618">
        <f>2am!L28+2am!L30+2am!L33+2am!L34+2am!L35</f>
        <v>11508.145</v>
      </c>
      <c r="I14" s="1112">
        <f>H14/G14</f>
        <v>0.2413303560404135</v>
      </c>
      <c r="J14" s="618">
        <v>0</v>
      </c>
      <c r="K14" s="618">
        <v>0</v>
      </c>
      <c r="L14" s="618">
        <v>0</v>
      </c>
      <c r="M14" s="1112">
        <v>0</v>
      </c>
      <c r="N14" s="15">
        <f>2am!J40</f>
        <v>164500.352</v>
      </c>
      <c r="O14" s="1164">
        <f>2am!K40</f>
        <v>179148.352</v>
      </c>
      <c r="P14" s="1164">
        <f>2am!L40</f>
        <v>122886.88100000002</v>
      </c>
      <c r="Q14" s="1112">
        <f t="shared" si="4"/>
        <v>0.6859503848519913</v>
      </c>
      <c r="R14" s="8">
        <f>'10m'!O17</f>
        <v>36744</v>
      </c>
      <c r="S14" s="8">
        <f>'11m'!O18</f>
        <v>32486</v>
      </c>
      <c r="T14" s="8">
        <f>'12m'!O17</f>
        <v>11834</v>
      </c>
      <c r="U14" s="8">
        <f>'13m'!O17</f>
        <v>31165.11</v>
      </c>
      <c r="V14" s="8">
        <f>SUM(R14:U14)</f>
        <v>112229.11</v>
      </c>
      <c r="W14" s="8">
        <f>N14+V14</f>
        <v>276729.462</v>
      </c>
      <c r="X14">
        <v>274627</v>
      </c>
    </row>
    <row r="15" spans="1:24" ht="12.75">
      <c r="A15" s="272" t="s">
        <v>519</v>
      </c>
      <c r="B15" s="618">
        <v>0</v>
      </c>
      <c r="C15" s="618">
        <v>0</v>
      </c>
      <c r="D15" s="618"/>
      <c r="E15" s="1112"/>
      <c r="F15" s="618">
        <v>0</v>
      </c>
      <c r="G15" s="618">
        <v>0</v>
      </c>
      <c r="H15" s="618"/>
      <c r="I15" s="1112"/>
      <c r="J15" s="618">
        <v>122342</v>
      </c>
      <c r="K15" s="618">
        <v>122342</v>
      </c>
      <c r="L15" s="618"/>
      <c r="M15" s="1112">
        <f>L15/K15</f>
        <v>0</v>
      </c>
      <c r="N15" s="15">
        <f>2am!N40</f>
        <v>122342</v>
      </c>
      <c r="O15" s="1164">
        <f>2am!O40</f>
        <v>122342</v>
      </c>
      <c r="P15" s="1164">
        <f>2am!P40</f>
        <v>57936.848999999995</v>
      </c>
      <c r="Q15" s="1112">
        <f t="shared" si="4"/>
        <v>0.47356467116771017</v>
      </c>
      <c r="W15" s="8">
        <f>N15</f>
        <v>122342</v>
      </c>
      <c r="X15">
        <v>122342</v>
      </c>
    </row>
    <row r="16" spans="1:24" ht="12.75">
      <c r="A16" s="272" t="s">
        <v>521</v>
      </c>
      <c r="B16" s="15">
        <f aca="true" t="shared" si="5" ref="B16:P16">SUM(B17+B19+B20+B21)</f>
        <v>338451.24</v>
      </c>
      <c r="C16" s="15">
        <f t="shared" si="5"/>
        <v>330580.24</v>
      </c>
      <c r="D16" s="15">
        <f t="shared" si="5"/>
        <v>30446</v>
      </c>
      <c r="E16" s="1112">
        <f t="shared" si="3"/>
        <v>0.09209866869235742</v>
      </c>
      <c r="F16" s="15">
        <f t="shared" si="5"/>
        <v>34299</v>
      </c>
      <c r="G16" s="15">
        <f t="shared" si="5"/>
        <v>31558</v>
      </c>
      <c r="H16" s="15">
        <f t="shared" si="5"/>
        <v>13875.172999999995</v>
      </c>
      <c r="I16" s="1112">
        <f>H16/G16</f>
        <v>0.43967212751124896</v>
      </c>
      <c r="J16" s="15">
        <f t="shared" si="5"/>
        <v>4744</v>
      </c>
      <c r="K16" s="15">
        <f t="shared" si="5"/>
        <v>4744</v>
      </c>
      <c r="L16" s="15">
        <f t="shared" si="5"/>
        <v>666.066</v>
      </c>
      <c r="M16" s="1112">
        <f>L16/K16</f>
        <v>0.14040177065767287</v>
      </c>
      <c r="N16" s="15">
        <f t="shared" si="5"/>
        <v>377494.24</v>
      </c>
      <c r="O16" s="1164">
        <f t="shared" si="5"/>
        <v>366882.24</v>
      </c>
      <c r="P16" s="1164">
        <f t="shared" si="5"/>
        <v>204836.162</v>
      </c>
      <c r="Q16" s="1112">
        <f t="shared" si="4"/>
        <v>0.5583158290791073</v>
      </c>
      <c r="W16" s="8">
        <f>W17+W19+W20+W21</f>
        <v>101953</v>
      </c>
      <c r="X16">
        <v>101953</v>
      </c>
    </row>
    <row r="17" spans="1:23" ht="12.75">
      <c r="A17" s="310" t="s">
        <v>522</v>
      </c>
      <c r="B17" s="618">
        <f>2am!R19-1568+B18</f>
        <v>269451.24</v>
      </c>
      <c r="C17" s="618">
        <f>2am!S19-1568+C18</f>
        <v>265511.24</v>
      </c>
      <c r="D17" s="618"/>
      <c r="E17" s="1112">
        <f t="shared" si="3"/>
        <v>0</v>
      </c>
      <c r="F17" s="618">
        <f>1568+F18</f>
        <v>13688</v>
      </c>
      <c r="G17" s="618">
        <f>1568+G18</f>
        <v>13688</v>
      </c>
      <c r="H17" s="618"/>
      <c r="I17" s="1112">
        <f>H17/G17</f>
        <v>0</v>
      </c>
      <c r="J17" s="618">
        <f>J18</f>
        <v>4744</v>
      </c>
      <c r="K17" s="618">
        <f>K18</f>
        <v>4744</v>
      </c>
      <c r="L17" s="618">
        <f>L18</f>
        <v>666.066</v>
      </c>
      <c r="M17" s="1112">
        <f>L17/K17</f>
        <v>0.14040177065767287</v>
      </c>
      <c r="N17" s="15">
        <f>2am!R40+'13m'!O27+'12m'!O31+'11m'!O28+'10m'!O29</f>
        <v>287883.24</v>
      </c>
      <c r="O17" s="1164">
        <f>2am!S40+'13m'!P27+'12m'!P31+'11m'!P28+'10m'!P29</f>
        <v>283943.24</v>
      </c>
      <c r="P17" s="1164">
        <f>2am!T40+'13m'!Q27+'12m'!Q31+'11m'!Q28+'10m'!Q29</f>
        <v>160514.989</v>
      </c>
      <c r="Q17" s="1112">
        <f t="shared" si="4"/>
        <v>0.565306604939776</v>
      </c>
      <c r="W17" s="8">
        <f>1m!B15</f>
        <v>12342</v>
      </c>
    </row>
    <row r="18" spans="1:23" s="26" customFormat="1" ht="12.75">
      <c r="A18" s="760" t="s">
        <v>1345</v>
      </c>
      <c r="B18" s="1081">
        <f>'10m'!C29+'11m'!C28+'12m'!C31+'13m'!C27</f>
        <v>258677.24</v>
      </c>
      <c r="C18" s="1081">
        <f>'10m'!D29+'11m'!D28+'12m'!D31+'13m'!D27</f>
        <v>258677.24</v>
      </c>
      <c r="D18" s="1081">
        <f>'10m'!E29+'11m'!E28+'12m'!E31+'13m'!E27</f>
        <v>149102.553</v>
      </c>
      <c r="E18" s="1112">
        <f t="shared" si="3"/>
        <v>0.5764038343690385</v>
      </c>
      <c r="F18" s="1081">
        <f>'12m'!G31</f>
        <v>12120</v>
      </c>
      <c r="G18" s="1081">
        <f>'12m'!H31</f>
        <v>12120</v>
      </c>
      <c r="H18" s="1081">
        <f>'12m'!I31</f>
        <v>3819.5719999999997</v>
      </c>
      <c r="I18" s="1112">
        <f>H18/G18</f>
        <v>0.315146204620462</v>
      </c>
      <c r="J18" s="1081">
        <f>'13m'!K27</f>
        <v>4744</v>
      </c>
      <c r="K18" s="1081">
        <f>'13m'!L27</f>
        <v>4744</v>
      </c>
      <c r="L18" s="1081">
        <f>'13m'!M27</f>
        <v>666.066</v>
      </c>
      <c r="M18" s="1112">
        <f>L18/K18</f>
        <v>0.14040177065767287</v>
      </c>
      <c r="N18" s="342">
        <f>'10m'!O29+'11m'!O28+'12m'!O31+'13m'!O27</f>
        <v>275541.24</v>
      </c>
      <c r="O18" s="1165">
        <f>'10m'!P29+'11m'!P28+'12m'!P31+'13m'!P27</f>
        <v>275541.24</v>
      </c>
      <c r="P18" s="1165">
        <f>'10m'!Q29+'11m'!Q28+'12m'!Q31+'13m'!Q27</f>
        <v>153588.191</v>
      </c>
      <c r="Q18" s="1112">
        <f t="shared" si="4"/>
        <v>0.5574054577093432</v>
      </c>
      <c r="R18" s="1074">
        <f>'10m'!O29</f>
        <v>98034</v>
      </c>
      <c r="S18" s="1074">
        <f>'11m'!O28</f>
        <v>50122</v>
      </c>
      <c r="T18" s="1074">
        <f>'12m'!O31</f>
        <v>21446</v>
      </c>
      <c r="U18" s="1074">
        <f>'13m'!O27</f>
        <v>105939.23999999999</v>
      </c>
      <c r="V18" s="1075">
        <f>SUM(R18:U18)</f>
        <v>275541.24</v>
      </c>
      <c r="W18" s="8"/>
    </row>
    <row r="19" spans="1:23" ht="12.75">
      <c r="A19" s="310" t="s">
        <v>523</v>
      </c>
      <c r="B19" s="618">
        <f>3bm!C39+3bm!C40</f>
        <v>69000</v>
      </c>
      <c r="C19" s="618">
        <f>3bm!D39+3bm!D40+3bm!D38</f>
        <v>65069</v>
      </c>
      <c r="D19" s="618">
        <f>3bm!E39+3bm!E40+3bm!E38</f>
        <v>30446</v>
      </c>
      <c r="E19" s="1112">
        <f t="shared" si="3"/>
        <v>0.4679033026479583</v>
      </c>
      <c r="F19" s="618">
        <f>N19-B19</f>
        <v>20611</v>
      </c>
      <c r="G19" s="618">
        <f>O19-C19</f>
        <v>17870</v>
      </c>
      <c r="H19" s="618">
        <f>P19-D19</f>
        <v>13875.172999999995</v>
      </c>
      <c r="I19" s="1112">
        <f>H19/G19</f>
        <v>0.7764506435366534</v>
      </c>
      <c r="J19" s="618">
        <v>0</v>
      </c>
      <c r="K19" s="618">
        <v>0</v>
      </c>
      <c r="L19" s="618"/>
      <c r="M19" s="1112"/>
      <c r="N19" s="15">
        <f>2am!V40</f>
        <v>89611</v>
      </c>
      <c r="O19" s="1164">
        <f>2am!W40</f>
        <v>82939</v>
      </c>
      <c r="P19" s="1164">
        <f>2am!X40</f>
        <v>44321.172999999995</v>
      </c>
      <c r="Q19" s="1112">
        <f t="shared" si="4"/>
        <v>0.534382775292685</v>
      </c>
      <c r="W19" s="8">
        <f aca="true" t="shared" si="6" ref="W19:W44">N19</f>
        <v>89611</v>
      </c>
    </row>
    <row r="20" spans="1:23" ht="12.75">
      <c r="A20" s="310" t="s">
        <v>524</v>
      </c>
      <c r="B20" s="618">
        <v>0</v>
      </c>
      <c r="C20" s="618">
        <v>0</v>
      </c>
      <c r="D20" s="618"/>
      <c r="E20" s="1112"/>
      <c r="F20" s="618">
        <v>0</v>
      </c>
      <c r="G20" s="618">
        <v>0</v>
      </c>
      <c r="H20" s="618"/>
      <c r="I20" s="1112"/>
      <c r="J20" s="618">
        <v>0</v>
      </c>
      <c r="K20" s="618">
        <v>0</v>
      </c>
      <c r="L20" s="618"/>
      <c r="M20" s="1112"/>
      <c r="N20" s="15">
        <v>0</v>
      </c>
      <c r="O20" s="1164">
        <v>0</v>
      </c>
      <c r="P20" s="1164">
        <v>0</v>
      </c>
      <c r="Q20" s="1112">
        <v>0</v>
      </c>
      <c r="W20" s="8">
        <f t="shared" si="6"/>
        <v>0</v>
      </c>
    </row>
    <row r="21" spans="1:23" ht="12.75">
      <c r="A21" s="310" t="s">
        <v>525</v>
      </c>
      <c r="B21" s="618">
        <v>0</v>
      </c>
      <c r="C21" s="618">
        <v>0</v>
      </c>
      <c r="D21" s="618"/>
      <c r="E21" s="1112"/>
      <c r="F21" s="618">
        <v>0</v>
      </c>
      <c r="G21" s="618">
        <v>0</v>
      </c>
      <c r="H21" s="618"/>
      <c r="I21" s="1112"/>
      <c r="J21" s="618">
        <v>0</v>
      </c>
      <c r="K21" s="618">
        <v>0</v>
      </c>
      <c r="L21" s="618"/>
      <c r="M21" s="1112"/>
      <c r="N21" s="15">
        <v>0</v>
      </c>
      <c r="O21" s="1164">
        <v>0</v>
      </c>
      <c r="P21" s="1164">
        <v>0</v>
      </c>
      <c r="Q21" s="1112">
        <v>0</v>
      </c>
      <c r="W21" s="8">
        <f t="shared" si="6"/>
        <v>0</v>
      </c>
    </row>
    <row r="22" spans="1:23" ht="12.75">
      <c r="A22" s="327" t="s">
        <v>540</v>
      </c>
      <c r="B22" s="35">
        <f aca="true" t="shared" si="7" ref="B22:P22">+B23+B24+B25</f>
        <v>775619</v>
      </c>
      <c r="C22" s="35">
        <f t="shared" si="7"/>
        <v>777948</v>
      </c>
      <c r="D22" s="35">
        <f t="shared" si="7"/>
        <v>185201.416</v>
      </c>
      <c r="E22" s="1112">
        <f t="shared" si="3"/>
        <v>0.23806400427792088</v>
      </c>
      <c r="F22" s="35">
        <f t="shared" si="7"/>
        <v>22998.714267716536</v>
      </c>
      <c r="G22" s="35">
        <f t="shared" si="7"/>
        <v>27050.714267716536</v>
      </c>
      <c r="H22" s="35">
        <f t="shared" si="7"/>
        <v>1452.134</v>
      </c>
      <c r="I22" s="1112">
        <f>H22/G22</f>
        <v>0.05368190967633849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1112"/>
      <c r="N22" s="35">
        <f t="shared" si="7"/>
        <v>798617.7142677165</v>
      </c>
      <c r="O22" s="1163">
        <f t="shared" si="7"/>
        <v>804998.7142677165</v>
      </c>
      <c r="P22" s="1163">
        <f t="shared" si="7"/>
        <v>186653.55</v>
      </c>
      <c r="Q22" s="1112">
        <f t="shared" si="4"/>
        <v>0.23186813431098854</v>
      </c>
      <c r="W22" s="8">
        <f t="shared" si="6"/>
        <v>798617.7142677165</v>
      </c>
    </row>
    <row r="23" spans="1:23" ht="12.75">
      <c r="A23" s="748" t="s">
        <v>541</v>
      </c>
      <c r="B23" s="326">
        <f>N23</f>
        <v>748336</v>
      </c>
      <c r="C23" s="326">
        <f>O23-3302</f>
        <v>748336</v>
      </c>
      <c r="D23" s="326">
        <f>P23</f>
        <v>185201.416</v>
      </c>
      <c r="E23" s="1112">
        <f t="shared" si="3"/>
        <v>0.24748430651472067</v>
      </c>
      <c r="F23" s="326">
        <f aca="true" t="shared" si="8" ref="F23:H24">N23-B23</f>
        <v>0</v>
      </c>
      <c r="G23" s="326">
        <f t="shared" si="8"/>
        <v>3302</v>
      </c>
      <c r="H23" s="326">
        <f t="shared" si="8"/>
        <v>0</v>
      </c>
      <c r="I23" s="1112">
        <f>H23/G23</f>
        <v>0</v>
      </c>
      <c r="J23" s="326">
        <v>0</v>
      </c>
      <c r="K23" s="326">
        <v>0</v>
      </c>
      <c r="L23" s="326"/>
      <c r="M23" s="1112"/>
      <c r="N23" s="7">
        <f>+4bm!J8-4bm!J19-4bm!J20-4bm!J25</f>
        <v>748336</v>
      </c>
      <c r="O23" s="1166">
        <f>+4bm!K8-4bm!K19-4bm!K20-4bm!K25</f>
        <v>751638</v>
      </c>
      <c r="P23" s="1166">
        <f>+4bm!L8-4bm!L19-4bm!L20-4bm!L25-4bm!L22-4bm!L28-4bm!L23</f>
        <v>185201.416</v>
      </c>
      <c r="Q23" s="1112">
        <f t="shared" si="4"/>
        <v>0.24639709008857988</v>
      </c>
      <c r="W23" s="8">
        <f t="shared" si="6"/>
        <v>748336</v>
      </c>
    </row>
    <row r="24" spans="1:23" ht="12.75">
      <c r="A24" s="748" t="s">
        <v>542</v>
      </c>
      <c r="B24" s="326">
        <f>N24</f>
        <v>5080</v>
      </c>
      <c r="C24" s="326">
        <f>O24</f>
        <v>7121</v>
      </c>
      <c r="D24" s="326">
        <f>P24</f>
        <v>0</v>
      </c>
      <c r="E24" s="1112">
        <f t="shared" si="3"/>
        <v>0</v>
      </c>
      <c r="F24" s="326">
        <f t="shared" si="8"/>
        <v>0</v>
      </c>
      <c r="G24" s="326">
        <f t="shared" si="8"/>
        <v>0</v>
      </c>
      <c r="H24" s="326">
        <f t="shared" si="8"/>
        <v>0</v>
      </c>
      <c r="I24" s="1112"/>
      <c r="J24" s="326">
        <v>0</v>
      </c>
      <c r="K24" s="326">
        <v>0</v>
      </c>
      <c r="L24" s="326"/>
      <c r="M24" s="1112"/>
      <c r="N24" s="7">
        <f>+4bm!J29</f>
        <v>5080</v>
      </c>
      <c r="O24" s="1166">
        <f>+4bm!K29</f>
        <v>7121</v>
      </c>
      <c r="P24" s="1166">
        <f>+4bm!L29</f>
        <v>0</v>
      </c>
      <c r="Q24" s="1112">
        <f t="shared" si="4"/>
        <v>0</v>
      </c>
      <c r="W24" s="8">
        <f t="shared" si="6"/>
        <v>5080</v>
      </c>
    </row>
    <row r="25" spans="1:23" ht="12.75">
      <c r="A25" s="748" t="s">
        <v>249</v>
      </c>
      <c r="B25" s="7">
        <f>SUM(B26:B33)</f>
        <v>22203</v>
      </c>
      <c r="C25" s="7">
        <f>SUM(C26:C33)</f>
        <v>22491</v>
      </c>
      <c r="D25" s="7">
        <f>SUM(D26:D33)</f>
        <v>0</v>
      </c>
      <c r="E25" s="1112">
        <f t="shared" si="3"/>
        <v>0</v>
      </c>
      <c r="F25" s="7">
        <f>SUM(F26:F33)</f>
        <v>22998.714267716536</v>
      </c>
      <c r="G25" s="7">
        <f>SUM(G26:G33)</f>
        <v>23748.714267716536</v>
      </c>
      <c r="H25" s="7">
        <f>SUM(H26:H33)</f>
        <v>1452.134</v>
      </c>
      <c r="I25" s="1112">
        <f>H25/G25</f>
        <v>0.06114579440513115</v>
      </c>
      <c r="J25" s="7">
        <f>SUM(J26:J32)</f>
        <v>0</v>
      </c>
      <c r="K25" s="7">
        <f>SUM(K26:K32)</f>
        <v>0</v>
      </c>
      <c r="L25" s="7">
        <f>SUM(L26:L32)</f>
        <v>0</v>
      </c>
      <c r="M25" s="1112"/>
      <c r="N25" s="7">
        <f>SUM(N26:N33)</f>
        <v>45201.71426771654</v>
      </c>
      <c r="O25" s="1166">
        <f>SUM(O26:O33)</f>
        <v>46239.71426771654</v>
      </c>
      <c r="P25" s="1166">
        <f>SUM(P26:P33)</f>
        <v>1452.134</v>
      </c>
      <c r="Q25" s="1112">
        <f t="shared" si="4"/>
        <v>0.03140447606558514</v>
      </c>
      <c r="W25" s="8">
        <f t="shared" si="6"/>
        <v>45201.71426771654</v>
      </c>
    </row>
    <row r="26" spans="1:23" ht="12.75">
      <c r="A26" s="759" t="s">
        <v>250</v>
      </c>
      <c r="B26" s="326">
        <f>N26</f>
        <v>0</v>
      </c>
      <c r="C26" s="326">
        <v>0</v>
      </c>
      <c r="D26" s="326"/>
      <c r="E26" s="1112"/>
      <c r="F26" s="326">
        <f>N26-B26</f>
        <v>0</v>
      </c>
      <c r="G26" s="326">
        <f>O26-C26</f>
        <v>750</v>
      </c>
      <c r="H26" s="326">
        <f>P26-D26</f>
        <v>810.59</v>
      </c>
      <c r="I26" s="1112">
        <f>H26/G26</f>
        <v>1.0807866666666668</v>
      </c>
      <c r="J26" s="326">
        <v>0</v>
      </c>
      <c r="K26" s="326">
        <v>0</v>
      </c>
      <c r="L26" s="326"/>
      <c r="M26" s="1112"/>
      <c r="N26" s="7">
        <f>+4bm!J35</f>
        <v>0</v>
      </c>
      <c r="O26" s="1166">
        <f>+4bm!K35</f>
        <v>750</v>
      </c>
      <c r="P26" s="1166">
        <f>+4bm!L35</f>
        <v>810.59</v>
      </c>
      <c r="Q26" s="1112">
        <f t="shared" si="4"/>
        <v>1.0807866666666668</v>
      </c>
      <c r="W26" s="8">
        <f t="shared" si="6"/>
        <v>0</v>
      </c>
    </row>
    <row r="27" spans="1:23" ht="12.75">
      <c r="A27" s="759" t="s">
        <v>251</v>
      </c>
      <c r="B27" s="326">
        <f>N27-F27</f>
        <v>0</v>
      </c>
      <c r="C27" s="326">
        <v>288</v>
      </c>
      <c r="D27" s="326"/>
      <c r="E27" s="1112">
        <f t="shared" si="3"/>
        <v>0</v>
      </c>
      <c r="F27" s="326">
        <f>N27</f>
        <v>1582</v>
      </c>
      <c r="G27" s="326">
        <f>O27-C27</f>
        <v>1582</v>
      </c>
      <c r="H27" s="326">
        <f>P27-D27</f>
        <v>641.544</v>
      </c>
      <c r="I27" s="1112">
        <f>H27/G27</f>
        <v>0.40552718078381794</v>
      </c>
      <c r="J27" s="326">
        <v>0</v>
      </c>
      <c r="K27" s="326">
        <v>0</v>
      </c>
      <c r="L27" s="326"/>
      <c r="M27" s="1112"/>
      <c r="N27" s="7">
        <f>+4bm!J38</f>
        <v>1582</v>
      </c>
      <c r="O27" s="1166">
        <f>+4bm!K38</f>
        <v>1870</v>
      </c>
      <c r="P27" s="1166">
        <f>+4bm!L38</f>
        <v>641.544</v>
      </c>
      <c r="Q27" s="1112">
        <f t="shared" si="4"/>
        <v>0.34307165775401066</v>
      </c>
      <c r="W27" s="8">
        <f t="shared" si="6"/>
        <v>1582</v>
      </c>
    </row>
    <row r="28" spans="1:23" ht="12.75">
      <c r="A28" s="759" t="s">
        <v>252</v>
      </c>
      <c r="B28" s="326">
        <v>0</v>
      </c>
      <c r="C28" s="326">
        <v>0</v>
      </c>
      <c r="D28" s="326"/>
      <c r="E28" s="1112"/>
      <c r="F28" s="326">
        <v>0</v>
      </c>
      <c r="G28" s="326">
        <v>0</v>
      </c>
      <c r="H28" s="326"/>
      <c r="I28" s="1112"/>
      <c r="J28" s="326">
        <v>0</v>
      </c>
      <c r="K28" s="326">
        <v>0</v>
      </c>
      <c r="L28" s="326"/>
      <c r="M28" s="1112"/>
      <c r="N28" s="7">
        <f>+4bm!J42</f>
        <v>0</v>
      </c>
      <c r="O28" s="1166">
        <f>+4bm!K42</f>
        <v>0</v>
      </c>
      <c r="P28" s="1166">
        <f>+4bm!L42</f>
        <v>0</v>
      </c>
      <c r="Q28" s="1112">
        <v>0</v>
      </c>
      <c r="W28" s="8">
        <f t="shared" si="6"/>
        <v>0</v>
      </c>
    </row>
    <row r="29" spans="1:23" ht="12.75">
      <c r="A29" s="759" t="s">
        <v>694</v>
      </c>
      <c r="B29" s="326">
        <f aca="true" t="shared" si="9" ref="B29:C32">N29-F29</f>
        <v>0</v>
      </c>
      <c r="C29" s="326">
        <f t="shared" si="9"/>
        <v>0</v>
      </c>
      <c r="D29" s="326"/>
      <c r="E29" s="1112"/>
      <c r="F29" s="326">
        <f aca="true" t="shared" si="10" ref="F29:H30">N29</f>
        <v>6425.714267716536</v>
      </c>
      <c r="G29" s="326">
        <f t="shared" si="10"/>
        <v>6425.714267716536</v>
      </c>
      <c r="H29" s="326">
        <f t="shared" si="10"/>
        <v>0</v>
      </c>
      <c r="I29" s="1112">
        <f>H29/G29</f>
        <v>0</v>
      </c>
      <c r="J29" s="326">
        <v>0</v>
      </c>
      <c r="K29" s="326">
        <v>0</v>
      </c>
      <c r="L29" s="326"/>
      <c r="M29" s="1112"/>
      <c r="N29" s="7">
        <f>SUM(4bm!J43)</f>
        <v>6425.714267716536</v>
      </c>
      <c r="O29" s="1166">
        <f>SUM(4bm!K43)</f>
        <v>6425.714267716536</v>
      </c>
      <c r="P29" s="1166">
        <f>SUM(4bm!L43)</f>
        <v>0</v>
      </c>
      <c r="Q29" s="1112">
        <f t="shared" si="4"/>
        <v>0</v>
      </c>
      <c r="W29" s="8">
        <f t="shared" si="6"/>
        <v>6425.714267716536</v>
      </c>
    </row>
    <row r="30" spans="1:23" ht="12.75">
      <c r="A30" s="759" t="s">
        <v>695</v>
      </c>
      <c r="B30" s="326">
        <f t="shared" si="9"/>
        <v>0</v>
      </c>
      <c r="C30" s="326">
        <f t="shared" si="9"/>
        <v>0</v>
      </c>
      <c r="D30" s="326"/>
      <c r="E30" s="1112"/>
      <c r="F30" s="326">
        <f t="shared" si="10"/>
        <v>5500</v>
      </c>
      <c r="G30" s="326">
        <f t="shared" si="10"/>
        <v>5500</v>
      </c>
      <c r="H30" s="326">
        <f t="shared" si="10"/>
        <v>0</v>
      </c>
      <c r="I30" s="1112">
        <f>H30/G30</f>
        <v>0</v>
      </c>
      <c r="J30" s="326">
        <v>0</v>
      </c>
      <c r="K30" s="326">
        <v>0</v>
      </c>
      <c r="L30" s="326"/>
      <c r="M30" s="1112"/>
      <c r="N30" s="7">
        <f>SUM(4bm!J45)</f>
        <v>5500</v>
      </c>
      <c r="O30" s="1166">
        <f>SUM(4bm!K45)</f>
        <v>5500</v>
      </c>
      <c r="P30" s="1166">
        <f>SUM(4bm!L45)</f>
        <v>0</v>
      </c>
      <c r="Q30" s="1112">
        <f t="shared" si="4"/>
        <v>0</v>
      </c>
      <c r="W30" s="8">
        <f t="shared" si="6"/>
        <v>5500</v>
      </c>
    </row>
    <row r="31" spans="1:23" ht="12.75">
      <c r="A31" s="759" t="s">
        <v>696</v>
      </c>
      <c r="B31" s="326">
        <f t="shared" si="9"/>
        <v>4050</v>
      </c>
      <c r="C31" s="326">
        <f t="shared" si="9"/>
        <v>4050</v>
      </c>
      <c r="D31" s="326">
        <f>P31-H31</f>
        <v>0</v>
      </c>
      <c r="E31" s="1112">
        <f t="shared" si="3"/>
        <v>0</v>
      </c>
      <c r="F31" s="326">
        <v>0</v>
      </c>
      <c r="G31" s="326">
        <v>0</v>
      </c>
      <c r="H31" s="326"/>
      <c r="I31" s="1112"/>
      <c r="J31" s="326">
        <v>0</v>
      </c>
      <c r="K31" s="326">
        <v>0</v>
      </c>
      <c r="L31" s="326"/>
      <c r="M31" s="1112"/>
      <c r="N31" s="7">
        <f>SUM(4bm!J47)</f>
        <v>4050</v>
      </c>
      <c r="O31" s="1166">
        <f>SUM(4bm!K47)</f>
        <v>4050</v>
      </c>
      <c r="P31" s="1166">
        <f>SUM(4bm!L47)</f>
        <v>0</v>
      </c>
      <c r="Q31" s="1112">
        <f t="shared" si="4"/>
        <v>0</v>
      </c>
      <c r="W31" s="8">
        <f t="shared" si="6"/>
        <v>4050</v>
      </c>
    </row>
    <row r="32" spans="1:23" ht="12.75">
      <c r="A32" s="759" t="s">
        <v>337</v>
      </c>
      <c r="B32" s="326">
        <f t="shared" si="9"/>
        <v>0</v>
      </c>
      <c r="C32" s="326">
        <f t="shared" si="9"/>
        <v>0</v>
      </c>
      <c r="D32" s="326">
        <f>P32-H32</f>
        <v>0</v>
      </c>
      <c r="E32" s="1112"/>
      <c r="F32" s="326">
        <f>N32</f>
        <v>9491</v>
      </c>
      <c r="G32" s="326">
        <f>O32</f>
        <v>9491</v>
      </c>
      <c r="H32" s="326">
        <f>P32</f>
        <v>0</v>
      </c>
      <c r="I32" s="1112">
        <f>H32/G32</f>
        <v>0</v>
      </c>
      <c r="J32" s="326">
        <v>0</v>
      </c>
      <c r="K32" s="326">
        <v>0</v>
      </c>
      <c r="L32" s="326"/>
      <c r="M32" s="1112"/>
      <c r="N32" s="7">
        <f>4bm!J49</f>
        <v>9491</v>
      </c>
      <c r="O32" s="1166">
        <f>4bm!K49</f>
        <v>9491</v>
      </c>
      <c r="P32" s="1166">
        <f>4bm!L49</f>
        <v>0</v>
      </c>
      <c r="Q32" s="1112">
        <f t="shared" si="4"/>
        <v>0</v>
      </c>
      <c r="W32" s="8"/>
    </row>
    <row r="33" spans="1:23" ht="12.75">
      <c r="A33" s="759" t="s">
        <v>1319</v>
      </c>
      <c r="B33" s="326">
        <f>N33</f>
        <v>18153</v>
      </c>
      <c r="C33" s="326">
        <f>O33</f>
        <v>18153</v>
      </c>
      <c r="D33" s="326">
        <f>P33</f>
        <v>0</v>
      </c>
      <c r="E33" s="1112">
        <f t="shared" si="3"/>
        <v>0</v>
      </c>
      <c r="F33" s="326">
        <v>0</v>
      </c>
      <c r="G33" s="326">
        <v>0</v>
      </c>
      <c r="H33" s="326"/>
      <c r="I33" s="1112"/>
      <c r="J33" s="326">
        <v>0</v>
      </c>
      <c r="K33" s="326">
        <v>0</v>
      </c>
      <c r="L33" s="326"/>
      <c r="M33" s="1112"/>
      <c r="N33" s="7">
        <f>4bm!J50</f>
        <v>18153</v>
      </c>
      <c r="O33" s="1166">
        <f>4bm!K50</f>
        <v>18153</v>
      </c>
      <c r="P33" s="1166">
        <f>4bm!L50</f>
        <v>0</v>
      </c>
      <c r="Q33" s="1112">
        <f t="shared" si="4"/>
        <v>0</v>
      </c>
      <c r="W33" s="8"/>
    </row>
    <row r="34" spans="1:23" ht="12.75">
      <c r="A34" s="46" t="s">
        <v>699</v>
      </c>
      <c r="B34" s="160">
        <v>0</v>
      </c>
      <c r="C34" s="160">
        <v>0</v>
      </c>
      <c r="D34" s="160"/>
      <c r="E34" s="1112"/>
      <c r="F34" s="160">
        <v>0</v>
      </c>
      <c r="G34" s="160">
        <v>0</v>
      </c>
      <c r="H34" s="160"/>
      <c r="I34" s="1112"/>
      <c r="J34" s="160">
        <v>0</v>
      </c>
      <c r="K34" s="160">
        <v>0</v>
      </c>
      <c r="L34" s="160"/>
      <c r="M34" s="1112"/>
      <c r="N34" s="35">
        <v>0</v>
      </c>
      <c r="O34" s="1163">
        <v>0</v>
      </c>
      <c r="P34" s="1163">
        <v>0</v>
      </c>
      <c r="Q34" s="1112">
        <v>0</v>
      </c>
      <c r="W34" s="8">
        <f>N34</f>
        <v>0</v>
      </c>
    </row>
    <row r="35" spans="1:23" ht="12.75">
      <c r="A35" s="12" t="s">
        <v>697</v>
      </c>
      <c r="B35" s="35">
        <f aca="true" t="shared" si="11" ref="B35:P35">+B36+B37</f>
        <v>242370.26244000002</v>
      </c>
      <c r="C35" s="35">
        <f t="shared" si="11"/>
        <v>242370.26244000002</v>
      </c>
      <c r="D35" s="35">
        <f t="shared" si="11"/>
        <v>70123.163</v>
      </c>
      <c r="E35" s="1112">
        <f t="shared" si="3"/>
        <v>0.2893224700672977</v>
      </c>
      <c r="F35" s="35">
        <f t="shared" si="11"/>
        <v>0</v>
      </c>
      <c r="G35" s="35">
        <f t="shared" si="11"/>
        <v>0</v>
      </c>
      <c r="H35" s="35"/>
      <c r="I35" s="1112"/>
      <c r="J35" s="35">
        <f t="shared" si="11"/>
        <v>0</v>
      </c>
      <c r="K35" s="35">
        <f t="shared" si="11"/>
        <v>0</v>
      </c>
      <c r="L35" s="35">
        <f t="shared" si="11"/>
        <v>0</v>
      </c>
      <c r="M35" s="1112"/>
      <c r="N35" s="35">
        <f t="shared" si="11"/>
        <v>242370.26244000002</v>
      </c>
      <c r="O35" s="1163">
        <f t="shared" si="11"/>
        <v>242370.26244000002</v>
      </c>
      <c r="P35" s="1163">
        <f t="shared" si="11"/>
        <v>70123.163</v>
      </c>
      <c r="Q35" s="1112">
        <f t="shared" si="4"/>
        <v>0.2893224700672977</v>
      </c>
      <c r="W35" s="8">
        <f t="shared" si="6"/>
        <v>242370.26244000002</v>
      </c>
    </row>
    <row r="36" spans="1:23" ht="12.75">
      <c r="A36" s="272" t="s">
        <v>528</v>
      </c>
      <c r="B36" s="618">
        <f aca="true" t="shared" si="12" ref="B36:D37">N36</f>
        <v>213346.15594000003</v>
      </c>
      <c r="C36" s="618">
        <f t="shared" si="12"/>
        <v>213346.15594000003</v>
      </c>
      <c r="D36" s="618">
        <f t="shared" si="12"/>
        <v>0</v>
      </c>
      <c r="E36" s="1112">
        <f t="shared" si="3"/>
        <v>0</v>
      </c>
      <c r="F36" s="618">
        <v>0</v>
      </c>
      <c r="G36" s="618">
        <v>0</v>
      </c>
      <c r="H36" s="618"/>
      <c r="I36" s="1112"/>
      <c r="J36" s="618">
        <v>0</v>
      </c>
      <c r="K36" s="618">
        <v>0</v>
      </c>
      <c r="L36" s="618"/>
      <c r="M36" s="1112"/>
      <c r="N36" s="15">
        <f>2am!Z40</f>
        <v>213346.15594000003</v>
      </c>
      <c r="O36" s="1164">
        <f>2am!AA40</f>
        <v>213346.15594000003</v>
      </c>
      <c r="P36" s="1164">
        <f>2am!AB40</f>
        <v>0</v>
      </c>
      <c r="Q36" s="1112">
        <f t="shared" si="4"/>
        <v>0</v>
      </c>
      <c r="W36" s="8">
        <f t="shared" si="6"/>
        <v>213346.15594000003</v>
      </c>
    </row>
    <row r="37" spans="1:23" ht="12.75">
      <c r="A37" s="272" t="s">
        <v>253</v>
      </c>
      <c r="B37" s="618">
        <f t="shared" si="12"/>
        <v>29024.1065</v>
      </c>
      <c r="C37" s="618">
        <f t="shared" si="12"/>
        <v>29024.1065</v>
      </c>
      <c r="D37" s="618">
        <f t="shared" si="12"/>
        <v>70123.163</v>
      </c>
      <c r="E37" s="1112">
        <f t="shared" si="3"/>
        <v>2.4160317562230555</v>
      </c>
      <c r="F37" s="618">
        <v>0</v>
      </c>
      <c r="G37" s="618">
        <v>0</v>
      </c>
      <c r="H37" s="618"/>
      <c r="I37" s="1112"/>
      <c r="J37" s="618">
        <v>0</v>
      </c>
      <c r="K37" s="618">
        <v>0</v>
      </c>
      <c r="L37" s="618"/>
      <c r="M37" s="1112"/>
      <c r="N37" s="15">
        <f>+4bm!J51</f>
        <v>29024.1065</v>
      </c>
      <c r="O37" s="1164">
        <f>+4bm!K51</f>
        <v>29024.1065</v>
      </c>
      <c r="P37" s="1164">
        <f>+4bm!L51</f>
        <v>70123.163</v>
      </c>
      <c r="Q37" s="1112">
        <f t="shared" si="4"/>
        <v>2.4160317562230555</v>
      </c>
      <c r="W37" s="8">
        <f t="shared" si="6"/>
        <v>29024.1065</v>
      </c>
    </row>
    <row r="38" spans="1:23" ht="12.75">
      <c r="A38" s="46" t="s">
        <v>698</v>
      </c>
      <c r="B38" s="35">
        <f aca="true" t="shared" si="13" ref="B38:P38">+B39+B42</f>
        <v>400</v>
      </c>
      <c r="C38" s="35">
        <f t="shared" si="13"/>
        <v>400</v>
      </c>
      <c r="D38" s="35">
        <f t="shared" si="13"/>
        <v>0</v>
      </c>
      <c r="E38" s="1112">
        <f t="shared" si="3"/>
        <v>0</v>
      </c>
      <c r="F38" s="35">
        <f t="shared" si="13"/>
        <v>0</v>
      </c>
      <c r="G38" s="35">
        <f t="shared" si="13"/>
        <v>0</v>
      </c>
      <c r="H38" s="35"/>
      <c r="I38" s="1112"/>
      <c r="J38" s="35">
        <f t="shared" si="13"/>
        <v>0</v>
      </c>
      <c r="K38" s="35">
        <f t="shared" si="13"/>
        <v>0</v>
      </c>
      <c r="L38" s="35">
        <f t="shared" si="13"/>
        <v>0</v>
      </c>
      <c r="M38" s="1112"/>
      <c r="N38" s="35">
        <f t="shared" si="13"/>
        <v>400</v>
      </c>
      <c r="O38" s="1163">
        <f t="shared" si="13"/>
        <v>400</v>
      </c>
      <c r="P38" s="1163">
        <f t="shared" si="13"/>
        <v>0</v>
      </c>
      <c r="Q38" s="1112">
        <f t="shared" si="4"/>
        <v>0</v>
      </c>
      <c r="W38" s="8">
        <f t="shared" si="6"/>
        <v>400</v>
      </c>
    </row>
    <row r="39" spans="1:23" ht="12.75">
      <c r="A39" s="150" t="s">
        <v>448</v>
      </c>
      <c r="B39" s="7">
        <f aca="true" t="shared" si="14" ref="B39:P39">B40+B41</f>
        <v>200</v>
      </c>
      <c r="C39" s="7">
        <f t="shared" si="14"/>
        <v>200</v>
      </c>
      <c r="D39" s="7">
        <f t="shared" si="14"/>
        <v>0</v>
      </c>
      <c r="E39" s="1112">
        <f t="shared" si="3"/>
        <v>0</v>
      </c>
      <c r="F39" s="7">
        <f t="shared" si="14"/>
        <v>0</v>
      </c>
      <c r="G39" s="7">
        <f t="shared" si="14"/>
        <v>0</v>
      </c>
      <c r="H39" s="7"/>
      <c r="I39" s="1112"/>
      <c r="J39" s="7">
        <f t="shared" si="14"/>
        <v>0</v>
      </c>
      <c r="K39" s="7">
        <f t="shared" si="14"/>
        <v>0</v>
      </c>
      <c r="L39" s="7"/>
      <c r="M39" s="1112"/>
      <c r="N39" s="7">
        <f t="shared" si="14"/>
        <v>200</v>
      </c>
      <c r="O39" s="1166">
        <f t="shared" si="14"/>
        <v>200</v>
      </c>
      <c r="P39" s="1166">
        <f t="shared" si="14"/>
        <v>0</v>
      </c>
      <c r="Q39" s="1112">
        <f t="shared" si="4"/>
        <v>0</v>
      </c>
      <c r="W39" s="8">
        <f t="shared" si="6"/>
        <v>200</v>
      </c>
    </row>
    <row r="40" spans="1:23" ht="12.75">
      <c r="A40" s="760" t="s">
        <v>1389</v>
      </c>
      <c r="B40" s="1081">
        <f aca="true" t="shared" si="15" ref="B40:D41">N40</f>
        <v>100</v>
      </c>
      <c r="C40" s="1081">
        <f t="shared" si="15"/>
        <v>100</v>
      </c>
      <c r="D40" s="1081">
        <f t="shared" si="15"/>
        <v>0</v>
      </c>
      <c r="E40" s="1112">
        <f t="shared" si="3"/>
        <v>0</v>
      </c>
      <c r="F40" s="1081">
        <v>0</v>
      </c>
      <c r="G40" s="1081">
        <v>0</v>
      </c>
      <c r="H40" s="1081"/>
      <c r="I40" s="1112"/>
      <c r="J40" s="1081">
        <v>0</v>
      </c>
      <c r="K40" s="1081">
        <v>0</v>
      </c>
      <c r="L40" s="1081"/>
      <c r="M40" s="1112"/>
      <c r="N40" s="7">
        <f>5m!B15</f>
        <v>100</v>
      </c>
      <c r="O40" s="1166">
        <f>N40</f>
        <v>100</v>
      </c>
      <c r="P40" s="7"/>
      <c r="Q40" s="1112">
        <f t="shared" si="4"/>
        <v>0</v>
      </c>
      <c r="W40" s="8">
        <f>N40</f>
        <v>100</v>
      </c>
    </row>
    <row r="41" spans="1:23" ht="12.75">
      <c r="A41" s="760" t="s">
        <v>1390</v>
      </c>
      <c r="B41" s="1081">
        <f t="shared" si="15"/>
        <v>100</v>
      </c>
      <c r="C41" s="1081">
        <f t="shared" si="15"/>
        <v>100</v>
      </c>
      <c r="D41" s="1081">
        <f t="shared" si="15"/>
        <v>0</v>
      </c>
      <c r="E41" s="1112">
        <f t="shared" si="3"/>
        <v>0</v>
      </c>
      <c r="F41" s="1081">
        <v>0</v>
      </c>
      <c r="G41" s="1081">
        <v>0</v>
      </c>
      <c r="H41" s="1081"/>
      <c r="I41" s="1112"/>
      <c r="J41" s="1081">
        <v>0</v>
      </c>
      <c r="K41" s="1081">
        <v>0</v>
      </c>
      <c r="L41" s="1081"/>
      <c r="M41" s="1112"/>
      <c r="N41" s="7">
        <f>5m!B16</f>
        <v>100</v>
      </c>
      <c r="O41" s="1166">
        <f>N41</f>
        <v>100</v>
      </c>
      <c r="P41" s="7"/>
      <c r="Q41" s="1112">
        <f t="shared" si="4"/>
        <v>0</v>
      </c>
      <c r="W41" s="8">
        <f t="shared" si="6"/>
        <v>100</v>
      </c>
    </row>
    <row r="42" spans="1:23" ht="12.75">
      <c r="A42" s="150" t="s">
        <v>1123</v>
      </c>
      <c r="B42" s="342">
        <f aca="true" t="shared" si="16" ref="B42:P42">SUM(B43:B44)</f>
        <v>200</v>
      </c>
      <c r="C42" s="342">
        <f t="shared" si="16"/>
        <v>200</v>
      </c>
      <c r="D42" s="342">
        <f t="shared" si="16"/>
        <v>0</v>
      </c>
      <c r="E42" s="1112">
        <f t="shared" si="3"/>
        <v>0</v>
      </c>
      <c r="F42" s="342">
        <f t="shared" si="16"/>
        <v>0</v>
      </c>
      <c r="G42" s="342">
        <f t="shared" si="16"/>
        <v>0</v>
      </c>
      <c r="H42" s="342"/>
      <c r="I42" s="1112"/>
      <c r="J42" s="342">
        <f t="shared" si="16"/>
        <v>0</v>
      </c>
      <c r="K42" s="342">
        <f t="shared" si="16"/>
        <v>0</v>
      </c>
      <c r="L42" s="342">
        <f t="shared" si="16"/>
        <v>0</v>
      </c>
      <c r="M42" s="1112"/>
      <c r="N42" s="342">
        <f t="shared" si="16"/>
        <v>200</v>
      </c>
      <c r="O42" s="1165">
        <f t="shared" si="16"/>
        <v>200</v>
      </c>
      <c r="P42" s="1165">
        <f t="shared" si="16"/>
        <v>0</v>
      </c>
      <c r="Q42" s="1112">
        <f t="shared" si="4"/>
        <v>0</v>
      </c>
      <c r="W42" s="8">
        <f t="shared" si="6"/>
        <v>200</v>
      </c>
    </row>
    <row r="43" spans="1:23" ht="12.75">
      <c r="A43" s="760" t="s">
        <v>1389</v>
      </c>
      <c r="B43" s="1081">
        <f aca="true" t="shared" si="17" ref="B43:D44">N43</f>
        <v>100</v>
      </c>
      <c r="C43" s="1081">
        <f t="shared" si="17"/>
        <v>100</v>
      </c>
      <c r="D43" s="1081">
        <f t="shared" si="17"/>
        <v>0</v>
      </c>
      <c r="E43" s="1112">
        <f t="shared" si="3"/>
        <v>0</v>
      </c>
      <c r="F43" s="1081">
        <v>0</v>
      </c>
      <c r="G43" s="1081">
        <v>0</v>
      </c>
      <c r="H43" s="1081"/>
      <c r="I43" s="1112"/>
      <c r="J43" s="1081">
        <v>0</v>
      </c>
      <c r="K43" s="1081">
        <v>0</v>
      </c>
      <c r="L43" s="1081"/>
      <c r="M43" s="1112"/>
      <c r="N43" s="7">
        <f>+5m!B19</f>
        <v>100</v>
      </c>
      <c r="O43" s="1095">
        <f>N43</f>
        <v>100</v>
      </c>
      <c r="P43" s="317"/>
      <c r="Q43" s="1112">
        <f t="shared" si="4"/>
        <v>0</v>
      </c>
      <c r="W43" s="8">
        <f t="shared" si="6"/>
        <v>100</v>
      </c>
    </row>
    <row r="44" spans="1:23" ht="12.75">
      <c r="A44" s="760" t="s">
        <v>1390</v>
      </c>
      <c r="B44" s="1081">
        <f t="shared" si="17"/>
        <v>100</v>
      </c>
      <c r="C44" s="1081">
        <f t="shared" si="17"/>
        <v>100</v>
      </c>
      <c r="D44" s="1081">
        <f t="shared" si="17"/>
        <v>0</v>
      </c>
      <c r="E44" s="1112">
        <f t="shared" si="3"/>
        <v>0</v>
      </c>
      <c r="F44" s="1081">
        <v>0</v>
      </c>
      <c r="G44" s="1081">
        <v>0</v>
      </c>
      <c r="H44" s="1081"/>
      <c r="I44" s="1112"/>
      <c r="J44" s="1081">
        <v>0</v>
      </c>
      <c r="K44" s="1081">
        <v>0</v>
      </c>
      <c r="L44" s="1081"/>
      <c r="M44" s="1112"/>
      <c r="N44" s="7">
        <f>5m!B20</f>
        <v>100</v>
      </c>
      <c r="O44" s="1095">
        <f>N44</f>
        <v>100</v>
      </c>
      <c r="P44" s="317"/>
      <c r="Q44" s="1112">
        <f t="shared" si="4"/>
        <v>0</v>
      </c>
      <c r="W44" s="8">
        <f t="shared" si="6"/>
        <v>100</v>
      </c>
    </row>
    <row r="45" spans="1:23" ht="15.75">
      <c r="A45" s="153" t="s">
        <v>449</v>
      </c>
      <c r="B45" s="155">
        <f aca="true" t="shared" si="18" ref="B45:N45">+B11+B22+B35+B38</f>
        <v>1651498.54244</v>
      </c>
      <c r="C45" s="155">
        <f t="shared" si="18"/>
        <v>1666442.54244</v>
      </c>
      <c r="D45" s="155">
        <f t="shared" si="18"/>
        <v>472842.489</v>
      </c>
      <c r="E45" s="1112">
        <f t="shared" si="3"/>
        <v>0.28374364969563576</v>
      </c>
      <c r="F45" s="155">
        <f t="shared" si="18"/>
        <v>106507.98626771654</v>
      </c>
      <c r="G45" s="155">
        <f t="shared" si="18"/>
        <v>107818.98626771654</v>
      </c>
      <c r="H45" s="155">
        <f t="shared" si="18"/>
        <v>30087.020999999993</v>
      </c>
      <c r="I45" s="1112">
        <f>H45/G45</f>
        <v>0.27905123245448965</v>
      </c>
      <c r="J45" s="155">
        <f t="shared" si="18"/>
        <v>127086</v>
      </c>
      <c r="K45" s="155">
        <f t="shared" si="18"/>
        <v>127086</v>
      </c>
      <c r="L45" s="155">
        <f t="shared" si="18"/>
        <v>666.066</v>
      </c>
      <c r="M45" s="1112">
        <f>L45/K45</f>
        <v>0.005241065105519097</v>
      </c>
      <c r="N45" s="155">
        <f t="shared" si="18"/>
        <v>1885092.5287077164</v>
      </c>
      <c r="O45" s="1167">
        <f aca="true" t="shared" si="19" ref="O45:W45">+O11+O22+O35+O38</f>
        <v>1901347.5287077164</v>
      </c>
      <c r="P45" s="1167">
        <f t="shared" si="19"/>
        <v>721381.348</v>
      </c>
      <c r="Q45" s="1112">
        <f t="shared" si="4"/>
        <v>0.3794053097122646</v>
      </c>
      <c r="R45" s="1176">
        <f t="shared" si="19"/>
        <v>101280</v>
      </c>
      <c r="S45" s="155">
        <f t="shared" si="19"/>
        <v>77556</v>
      </c>
      <c r="T45" s="155">
        <f t="shared" si="19"/>
        <v>37142</v>
      </c>
      <c r="U45" s="155">
        <f t="shared" si="19"/>
        <v>153259.24</v>
      </c>
      <c r="V45" s="155">
        <f t="shared" si="19"/>
        <v>369237.24</v>
      </c>
      <c r="W45" s="155">
        <f t="shared" si="19"/>
        <v>1978788.5287077164</v>
      </c>
    </row>
    <row r="46" spans="1:17" ht="12.75">
      <c r="A46" s="749"/>
      <c r="B46" s="1073"/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271"/>
      <c r="O46" s="700"/>
      <c r="P46" s="1177"/>
      <c r="Q46" s="1112"/>
    </row>
    <row r="47" spans="1:17" ht="12.75" customHeight="1">
      <c r="A47" s="12" t="s">
        <v>1280</v>
      </c>
      <c r="B47" s="35">
        <f aca="true" t="shared" si="20" ref="B47:P47">+B48+B49+B50+B51</f>
        <v>959596.493564</v>
      </c>
      <c r="C47" s="35">
        <f t="shared" si="20"/>
        <v>969470.493564</v>
      </c>
      <c r="D47" s="35">
        <f t="shared" si="20"/>
        <v>568619.301</v>
      </c>
      <c r="E47" s="1112">
        <f>D47/C47</f>
        <v>0.586525639279255</v>
      </c>
      <c r="F47" s="35">
        <f t="shared" si="20"/>
        <v>37846</v>
      </c>
      <c r="G47" s="35">
        <f t="shared" si="20"/>
        <v>37846</v>
      </c>
      <c r="H47" s="35">
        <f t="shared" si="20"/>
        <v>2752.339</v>
      </c>
      <c r="I47" s="1112">
        <f>H47/G47</f>
        <v>0.07272470010040691</v>
      </c>
      <c r="J47" s="35">
        <f t="shared" si="20"/>
        <v>0</v>
      </c>
      <c r="K47" s="35">
        <f t="shared" si="20"/>
        <v>0</v>
      </c>
      <c r="L47" s="35">
        <f t="shared" si="20"/>
        <v>0</v>
      </c>
      <c r="M47" s="35"/>
      <c r="N47" s="35">
        <f t="shared" si="20"/>
        <v>997442.493564</v>
      </c>
      <c r="O47" s="1163">
        <f t="shared" si="20"/>
        <v>1007316.493564</v>
      </c>
      <c r="P47" s="1163">
        <f t="shared" si="20"/>
        <v>584909.635</v>
      </c>
      <c r="Q47" s="1112">
        <f t="shared" si="4"/>
        <v>0.5806612308416825</v>
      </c>
    </row>
    <row r="48" spans="1:17" ht="12.75">
      <c r="A48" s="14" t="s">
        <v>1391</v>
      </c>
      <c r="B48" s="618">
        <f>1am!B48+1am!B49</f>
        <v>9125</v>
      </c>
      <c r="C48" s="618">
        <f>1am!C48+1am!C49+1am!C53</f>
        <v>14611</v>
      </c>
      <c r="D48" s="618">
        <f>1am!D48+1am!D49+1am!D53</f>
        <v>10071.686</v>
      </c>
      <c r="E48" s="1112">
        <f aca="true" t="shared" si="21" ref="E48:E65">D48/C48</f>
        <v>0.6893221545410991</v>
      </c>
      <c r="F48" s="618">
        <f>1am!B50+1am!B51+1am!B52</f>
        <v>37846</v>
      </c>
      <c r="G48" s="618">
        <f>1am!C50+1am!C51+1am!C52</f>
        <v>37846</v>
      </c>
      <c r="H48" s="618">
        <f>1am!D50+1am!D51+1am!D52</f>
        <v>2752.339</v>
      </c>
      <c r="I48" s="1112">
        <f>H48/G48</f>
        <v>0.07272470010040691</v>
      </c>
      <c r="J48" s="618">
        <v>0</v>
      </c>
      <c r="K48" s="618">
        <v>0</v>
      </c>
      <c r="L48" s="618"/>
      <c r="M48" s="35"/>
      <c r="N48" s="18">
        <f>1am!B54</f>
        <v>46971</v>
      </c>
      <c r="O48" s="1168">
        <f>1am!C54</f>
        <v>52457</v>
      </c>
      <c r="P48" s="1168">
        <f>1am!D54</f>
        <v>25692.949</v>
      </c>
      <c r="Q48" s="1112">
        <f t="shared" si="4"/>
        <v>0.48979066664124904</v>
      </c>
    </row>
    <row r="49" spans="1:17" ht="12.75">
      <c r="A49" s="491" t="s">
        <v>1392</v>
      </c>
      <c r="B49" s="618">
        <f>1am!F25+1am!F26+1am!F27+1am!F28+1am!F30</f>
        <v>124600</v>
      </c>
      <c r="C49" s="618">
        <f>1am!G25+1am!G26+1am!G27+1am!G28+1am!G30</f>
        <v>124600</v>
      </c>
      <c r="D49" s="618">
        <f>1am!H25+1am!H26+1am!H27+1am!H28+1am!H30</f>
        <v>80541.70999999999</v>
      </c>
      <c r="E49" s="1112">
        <f t="shared" si="21"/>
        <v>0.6464021669341894</v>
      </c>
      <c r="F49" s="618">
        <v>0</v>
      </c>
      <c r="G49" s="618">
        <v>0</v>
      </c>
      <c r="H49" s="618"/>
      <c r="I49" s="1112"/>
      <c r="J49" s="618">
        <v>0</v>
      </c>
      <c r="K49" s="618">
        <v>0</v>
      </c>
      <c r="L49" s="618"/>
      <c r="M49" s="35"/>
      <c r="N49" s="18">
        <f>1am!F54</f>
        <v>124600</v>
      </c>
      <c r="O49" s="1168">
        <f>1am!G54</f>
        <v>124600</v>
      </c>
      <c r="P49" s="1168">
        <f>1am!H54</f>
        <v>80756.853</v>
      </c>
      <c r="Q49" s="1112">
        <f t="shared" si="4"/>
        <v>0.6481288362760835</v>
      </c>
    </row>
    <row r="50" spans="1:17" ht="12.75">
      <c r="A50" s="491" t="s">
        <v>1393</v>
      </c>
      <c r="B50" s="618">
        <f>N50</f>
        <v>651100.493564</v>
      </c>
      <c r="C50" s="618">
        <f>O50</f>
        <v>655488.493564</v>
      </c>
      <c r="D50" s="618">
        <f>P50</f>
        <v>389961.648</v>
      </c>
      <c r="E50" s="1112">
        <f t="shared" si="21"/>
        <v>0.5949176100402825</v>
      </c>
      <c r="F50" s="618">
        <v>0</v>
      </c>
      <c r="G50" s="618">
        <v>0</v>
      </c>
      <c r="H50" s="618"/>
      <c r="I50" s="1112"/>
      <c r="J50" s="618">
        <v>0</v>
      </c>
      <c r="K50" s="618">
        <v>0</v>
      </c>
      <c r="L50" s="618"/>
      <c r="M50" s="35"/>
      <c r="N50" s="549">
        <f>1am!J54</f>
        <v>651100.493564</v>
      </c>
      <c r="O50" s="1169">
        <f>1am!K54</f>
        <v>655488.493564</v>
      </c>
      <c r="P50" s="1169">
        <f>1am!L54</f>
        <v>389961.648</v>
      </c>
      <c r="Q50" s="1112">
        <f t="shared" si="4"/>
        <v>0.5949176100402825</v>
      </c>
    </row>
    <row r="51" spans="1:17" ht="12.75">
      <c r="A51" s="491" t="s">
        <v>1394</v>
      </c>
      <c r="B51" s="618">
        <f>1am!N18+1am!N22+1am!N39+1am!R54</f>
        <v>174771</v>
      </c>
      <c r="C51" s="618">
        <f>1am!O18+1am!O22+1am!O39+1am!S54</f>
        <v>174771</v>
      </c>
      <c r="D51" s="618">
        <f>1am!P18+1am!P22+1am!P39+1am!T54</f>
        <v>88044.257</v>
      </c>
      <c r="E51" s="1112">
        <f t="shared" si="21"/>
        <v>0.5037692580576869</v>
      </c>
      <c r="F51" s="618">
        <v>0</v>
      </c>
      <c r="G51" s="618">
        <v>0</v>
      </c>
      <c r="H51" s="618"/>
      <c r="I51" s="1112"/>
      <c r="J51" s="618">
        <v>0</v>
      </c>
      <c r="K51" s="618">
        <v>0</v>
      </c>
      <c r="L51" s="618"/>
      <c r="M51" s="35"/>
      <c r="N51" s="18">
        <f>1am!N54+1am!R54</f>
        <v>174771</v>
      </c>
      <c r="O51" s="1168">
        <f>1am!O54+1am!S54</f>
        <v>174771</v>
      </c>
      <c r="P51" s="1168">
        <f>1am!P54+1am!T54</f>
        <v>88498.185</v>
      </c>
      <c r="Q51" s="1112">
        <f t="shared" si="4"/>
        <v>0.5063665310606451</v>
      </c>
    </row>
    <row r="52" spans="1:17" ht="12.75">
      <c r="A52" s="46" t="s">
        <v>1395</v>
      </c>
      <c r="B52" s="49">
        <f>+B53+B54+B55+B56</f>
        <v>797609.7496322835</v>
      </c>
      <c r="C52" s="49">
        <f>+C53+C54+C55+C56</f>
        <v>799938.7496322835</v>
      </c>
      <c r="D52" s="49">
        <f>+D53+D54+D55+D56</f>
        <v>172677.82099999997</v>
      </c>
      <c r="E52" s="1112">
        <f t="shared" si="21"/>
        <v>0.2158638034216703</v>
      </c>
      <c r="F52" s="49">
        <f>+F53+F54+F55</f>
        <v>22998.714267716536</v>
      </c>
      <c r="G52" s="49">
        <f>+G53+G54+G55</f>
        <v>27050.714267716536</v>
      </c>
      <c r="H52" s="49">
        <f>+H53+H54+H55</f>
        <v>1452.134</v>
      </c>
      <c r="I52" s="1112">
        <f>H52/G52</f>
        <v>0.05368190967633849</v>
      </c>
      <c r="J52" s="49">
        <f>+J53+J54+J55</f>
        <v>0</v>
      </c>
      <c r="K52" s="49">
        <f>+K53+K54+K55</f>
        <v>0</v>
      </c>
      <c r="L52" s="49">
        <f>+L53+L54+L55</f>
        <v>0</v>
      </c>
      <c r="M52" s="35"/>
      <c r="N52" s="49">
        <f>+N53+N54+N55+N56</f>
        <v>820608.4639</v>
      </c>
      <c r="O52" s="1170">
        <f>+O53+O54+O55+O56</f>
        <v>826989.4639</v>
      </c>
      <c r="P52" s="1170">
        <f>+P53+P54+P55+P56</f>
        <v>174129.955</v>
      </c>
      <c r="Q52" s="1112">
        <f t="shared" si="4"/>
        <v>0.2105588554645188</v>
      </c>
    </row>
    <row r="53" spans="1:17" ht="12.75">
      <c r="A53" s="616" t="s">
        <v>1396</v>
      </c>
      <c r="B53" s="618">
        <f>N53-F53</f>
        <v>51992.28573228346</v>
      </c>
      <c r="C53" s="618">
        <f>O53-G53</f>
        <v>54321.28573228346</v>
      </c>
      <c r="D53" s="618">
        <f>P53-H53</f>
        <v>-919.3140000000001</v>
      </c>
      <c r="E53" s="1112">
        <f t="shared" si="21"/>
        <v>-0.016923642134148646</v>
      </c>
      <c r="F53" s="618">
        <f>F22</f>
        <v>22998.714267716536</v>
      </c>
      <c r="G53" s="618">
        <f>G22</f>
        <v>27050.714267716536</v>
      </c>
      <c r="H53" s="618">
        <f>H22</f>
        <v>1452.134</v>
      </c>
      <c r="I53" s="1112">
        <f>H53/G53</f>
        <v>0.05368190967633849</v>
      </c>
      <c r="J53" s="618">
        <v>0</v>
      </c>
      <c r="K53" s="618">
        <v>0</v>
      </c>
      <c r="L53" s="618"/>
      <c r="M53" s="35"/>
      <c r="N53" s="633">
        <f>4am!B8</f>
        <v>74991</v>
      </c>
      <c r="O53" s="1171">
        <f>4am!C8</f>
        <v>81372</v>
      </c>
      <c r="P53" s="1171">
        <f>4am!D8</f>
        <v>532.8199999999999</v>
      </c>
      <c r="Q53" s="1112">
        <f t="shared" si="4"/>
        <v>0.006547952612692326</v>
      </c>
    </row>
    <row r="54" spans="1:20" ht="12.75">
      <c r="A54" s="616" t="s">
        <v>1397</v>
      </c>
      <c r="B54" s="618">
        <f aca="true" t="shared" si="22" ref="B54:D56">N54</f>
        <v>75490.4639</v>
      </c>
      <c r="C54" s="618">
        <f t="shared" si="22"/>
        <v>75490.4639</v>
      </c>
      <c r="D54" s="618">
        <f t="shared" si="22"/>
        <v>1757.046</v>
      </c>
      <c r="E54" s="1112">
        <f t="shared" si="21"/>
        <v>0.023275072230679456</v>
      </c>
      <c r="F54" s="618">
        <v>0</v>
      </c>
      <c r="G54" s="618">
        <v>0</v>
      </c>
      <c r="H54" s="618"/>
      <c r="I54" s="1112"/>
      <c r="J54" s="618">
        <v>0</v>
      </c>
      <c r="K54" s="618">
        <v>0</v>
      </c>
      <c r="L54" s="618"/>
      <c r="M54" s="35"/>
      <c r="N54" s="633">
        <f>4am!B22-4am!B32</f>
        <v>75490.4639</v>
      </c>
      <c r="O54" s="1171">
        <f>4am!C22-4am!C32</f>
        <v>75490.4639</v>
      </c>
      <c r="P54" s="1171">
        <f>4am!D22-4am!D32</f>
        <v>1757.046</v>
      </c>
      <c r="Q54" s="1112">
        <f t="shared" si="4"/>
        <v>0.023275072230679456</v>
      </c>
      <c r="T54">
        <v>4729</v>
      </c>
    </row>
    <row r="55" spans="1:17" ht="16.5" customHeight="1">
      <c r="A55" s="626" t="s">
        <v>689</v>
      </c>
      <c r="B55" s="1082">
        <f t="shared" si="22"/>
        <v>660592</v>
      </c>
      <c r="C55" s="1082">
        <f t="shared" si="22"/>
        <v>660592</v>
      </c>
      <c r="D55" s="1082">
        <f t="shared" si="22"/>
        <v>171840.08899999998</v>
      </c>
      <c r="E55" s="1112">
        <f t="shared" si="21"/>
        <v>0.26013044208830866</v>
      </c>
      <c r="F55" s="1082">
        <v>0</v>
      </c>
      <c r="G55" s="1082">
        <v>0</v>
      </c>
      <c r="H55" s="1082"/>
      <c r="I55" s="1112"/>
      <c r="J55" s="1082">
        <v>0</v>
      </c>
      <c r="K55" s="1082">
        <v>0</v>
      </c>
      <c r="L55" s="1082"/>
      <c r="M55" s="35"/>
      <c r="N55" s="633">
        <f>4am!B33</f>
        <v>660592</v>
      </c>
      <c r="O55" s="1171">
        <f>4am!C33</f>
        <v>660592</v>
      </c>
      <c r="P55" s="1171">
        <f>4am!D33</f>
        <v>171840.08899999998</v>
      </c>
      <c r="Q55" s="1112">
        <f t="shared" si="4"/>
        <v>0.26013044208830866</v>
      </c>
    </row>
    <row r="56" spans="1:17" ht="16.5" customHeight="1">
      <c r="A56" s="626" t="s">
        <v>1437</v>
      </c>
      <c r="B56" s="1082">
        <f t="shared" si="22"/>
        <v>9535</v>
      </c>
      <c r="C56" s="1082">
        <f t="shared" si="22"/>
        <v>9535</v>
      </c>
      <c r="D56" s="1082">
        <f t="shared" si="22"/>
        <v>0</v>
      </c>
      <c r="E56" s="1112">
        <f t="shared" si="21"/>
        <v>0</v>
      </c>
      <c r="F56" s="1082">
        <v>0</v>
      </c>
      <c r="G56" s="1082">
        <v>0</v>
      </c>
      <c r="H56" s="1082"/>
      <c r="I56" s="1112"/>
      <c r="J56" s="1082">
        <v>0</v>
      </c>
      <c r="K56" s="1082">
        <v>0</v>
      </c>
      <c r="L56" s="1082"/>
      <c r="M56" s="35"/>
      <c r="N56" s="633">
        <f>4am!B47</f>
        <v>9535</v>
      </c>
      <c r="O56" s="1171">
        <f>4am!C47</f>
        <v>9535</v>
      </c>
      <c r="P56" s="1171">
        <f>4am!D47</f>
        <v>0</v>
      </c>
      <c r="Q56" s="1112">
        <f t="shared" si="4"/>
        <v>0</v>
      </c>
    </row>
    <row r="57" spans="1:17" ht="12.75">
      <c r="A57" s="628" t="s">
        <v>690</v>
      </c>
      <c r="B57" s="160">
        <v>0</v>
      </c>
      <c r="C57" s="160">
        <v>0</v>
      </c>
      <c r="D57" s="160">
        <v>0</v>
      </c>
      <c r="E57" s="1112"/>
      <c r="F57" s="160">
        <v>0</v>
      </c>
      <c r="G57" s="160">
        <v>0</v>
      </c>
      <c r="H57" s="160"/>
      <c r="I57" s="1112"/>
      <c r="J57" s="160">
        <v>0</v>
      </c>
      <c r="K57" s="160">
        <v>0</v>
      </c>
      <c r="L57" s="160"/>
      <c r="M57" s="35"/>
      <c r="N57" s="182">
        <v>0</v>
      </c>
      <c r="O57" s="1172">
        <v>0</v>
      </c>
      <c r="P57" s="1172">
        <v>0</v>
      </c>
      <c r="Q57" s="1112">
        <v>0</v>
      </c>
    </row>
    <row r="58" spans="1:17" ht="12.75">
      <c r="A58" s="12" t="s">
        <v>691</v>
      </c>
      <c r="B58" s="49">
        <f aca="true" t="shared" si="23" ref="B58:P58">+B60+B61+B63+B64</f>
        <v>67042</v>
      </c>
      <c r="C58" s="49">
        <f t="shared" si="23"/>
        <v>67042</v>
      </c>
      <c r="D58" s="49">
        <f t="shared" si="23"/>
        <v>0</v>
      </c>
      <c r="E58" s="1112">
        <f t="shared" si="21"/>
        <v>0</v>
      </c>
      <c r="F58" s="49">
        <f t="shared" si="23"/>
        <v>0</v>
      </c>
      <c r="G58" s="49">
        <f t="shared" si="23"/>
        <v>0</v>
      </c>
      <c r="H58" s="49">
        <f t="shared" si="23"/>
        <v>0</v>
      </c>
      <c r="I58" s="1112"/>
      <c r="J58" s="49">
        <f t="shared" si="23"/>
        <v>0</v>
      </c>
      <c r="K58" s="49">
        <f t="shared" si="23"/>
        <v>0</v>
      </c>
      <c r="L58" s="49">
        <f t="shared" si="23"/>
        <v>0</v>
      </c>
      <c r="M58" s="35"/>
      <c r="N58" s="49">
        <f t="shared" si="23"/>
        <v>67042</v>
      </c>
      <c r="O58" s="1170">
        <f t="shared" si="23"/>
        <v>67042</v>
      </c>
      <c r="P58" s="1170">
        <f t="shared" si="23"/>
        <v>0</v>
      </c>
      <c r="Q58" s="1112">
        <f t="shared" si="4"/>
        <v>0</v>
      </c>
    </row>
    <row r="59" spans="1:17" ht="15.75" customHeight="1">
      <c r="A59" s="318" t="s">
        <v>421</v>
      </c>
      <c r="B59" s="1081"/>
      <c r="C59" s="1081"/>
      <c r="D59" s="1081"/>
      <c r="E59" s="1112"/>
      <c r="F59" s="1081"/>
      <c r="G59" s="1081"/>
      <c r="H59" s="1081"/>
      <c r="I59" s="1112"/>
      <c r="J59" s="1081"/>
      <c r="K59" s="1081"/>
      <c r="L59" s="1081"/>
      <c r="M59" s="35"/>
      <c r="N59" s="39">
        <f>N60</f>
        <v>59537</v>
      </c>
      <c r="O59" s="1173">
        <f>O60</f>
        <v>59537</v>
      </c>
      <c r="P59" s="1173">
        <v>0</v>
      </c>
      <c r="Q59" s="1112">
        <f t="shared" si="4"/>
        <v>0</v>
      </c>
    </row>
    <row r="60" spans="1:17" ht="27" customHeight="1">
      <c r="A60" s="735" t="s">
        <v>422</v>
      </c>
      <c r="B60" s="1083">
        <v>59537</v>
      </c>
      <c r="C60" s="1083">
        <v>59537</v>
      </c>
      <c r="D60" s="1083"/>
      <c r="E60" s="1112">
        <f t="shared" si="21"/>
        <v>0</v>
      </c>
      <c r="F60" s="1083">
        <v>0</v>
      </c>
      <c r="G60" s="1083">
        <v>0</v>
      </c>
      <c r="H60" s="1083"/>
      <c r="I60" s="1112"/>
      <c r="J60" s="1083">
        <v>0</v>
      </c>
      <c r="K60" s="1083">
        <v>0</v>
      </c>
      <c r="L60" s="1083"/>
      <c r="M60" s="35"/>
      <c r="N60" s="39">
        <f>pénzmaradvány!B6</f>
        <v>59537</v>
      </c>
      <c r="O60" s="1173">
        <f>N60</f>
        <v>59537</v>
      </c>
      <c r="P60" s="39">
        <v>0</v>
      </c>
      <c r="Q60" s="1112">
        <f t="shared" si="4"/>
        <v>0</v>
      </c>
    </row>
    <row r="61" spans="1:17" ht="22.5" customHeight="1" hidden="1">
      <c r="A61" s="736" t="s">
        <v>543</v>
      </c>
      <c r="B61" s="1083"/>
      <c r="C61" s="1083"/>
      <c r="D61" s="1083"/>
      <c r="E61" s="1112" t="e">
        <f t="shared" si="21"/>
        <v>#DIV/0!</v>
      </c>
      <c r="F61" s="1083"/>
      <c r="G61" s="1083"/>
      <c r="H61" s="1083"/>
      <c r="I61" s="1112" t="e">
        <f>H61/G61</f>
        <v>#DIV/0!</v>
      </c>
      <c r="J61" s="1083"/>
      <c r="K61" s="1083"/>
      <c r="L61" s="1083"/>
      <c r="M61" s="35"/>
      <c r="N61" s="39"/>
      <c r="O61" s="1173"/>
      <c r="P61" s="39"/>
      <c r="Q61" s="1112" t="e">
        <f t="shared" si="4"/>
        <v>#DIV/0!</v>
      </c>
    </row>
    <row r="62" spans="1:17" ht="21" customHeight="1">
      <c r="A62" s="705" t="s">
        <v>423</v>
      </c>
      <c r="B62" s="1083"/>
      <c r="C62" s="1083"/>
      <c r="D62" s="1083"/>
      <c r="E62" s="1112"/>
      <c r="F62" s="1083"/>
      <c r="G62" s="1083"/>
      <c r="H62" s="1083"/>
      <c r="I62" s="1112"/>
      <c r="J62" s="1083"/>
      <c r="K62" s="1083"/>
      <c r="L62" s="1083"/>
      <c r="M62" s="35"/>
      <c r="N62" s="39">
        <f>N63</f>
        <v>7505</v>
      </c>
      <c r="O62" s="1173">
        <f>O63</f>
        <v>7505</v>
      </c>
      <c r="P62" s="39">
        <v>0</v>
      </c>
      <c r="Q62" s="1112">
        <f t="shared" si="4"/>
        <v>0</v>
      </c>
    </row>
    <row r="63" spans="1:17" ht="28.5" customHeight="1">
      <c r="A63" s="736" t="s">
        <v>424</v>
      </c>
      <c r="B63" s="1083">
        <v>7505</v>
      </c>
      <c r="C63" s="1083">
        <v>7505</v>
      </c>
      <c r="D63" s="1083"/>
      <c r="E63" s="1112">
        <f t="shared" si="21"/>
        <v>0</v>
      </c>
      <c r="F63" s="1083">
        <v>0</v>
      </c>
      <c r="G63" s="1083">
        <v>0</v>
      </c>
      <c r="H63" s="1083"/>
      <c r="I63" s="1112"/>
      <c r="J63" s="1083">
        <v>0</v>
      </c>
      <c r="K63" s="1083">
        <v>0</v>
      </c>
      <c r="L63" s="1083"/>
      <c r="M63" s="35"/>
      <c r="N63" s="39">
        <f>4am!B50</f>
        <v>7505</v>
      </c>
      <c r="O63" s="1173">
        <f>4am!C50</f>
        <v>7505</v>
      </c>
      <c r="P63" s="1173">
        <f>4am!D50</f>
        <v>0</v>
      </c>
      <c r="Q63" s="1112">
        <f t="shared" si="4"/>
        <v>0</v>
      </c>
    </row>
    <row r="64" spans="1:17" ht="18.75" customHeight="1">
      <c r="A64" s="736" t="s">
        <v>425</v>
      </c>
      <c r="B64" s="1083"/>
      <c r="C64" s="1083"/>
      <c r="D64" s="1083"/>
      <c r="E64" s="1112"/>
      <c r="F64" s="1083"/>
      <c r="G64" s="1083"/>
      <c r="H64" s="1083"/>
      <c r="I64" s="1112"/>
      <c r="J64" s="1083"/>
      <c r="K64" s="1083"/>
      <c r="L64" s="1083"/>
      <c r="M64" s="35"/>
      <c r="N64" s="39">
        <f>+4am!B49</f>
        <v>0</v>
      </c>
      <c r="O64" s="1173">
        <f>+4am!C49</f>
        <v>0</v>
      </c>
      <c r="P64" s="39">
        <v>0</v>
      </c>
      <c r="Q64" s="1112">
        <v>0</v>
      </c>
    </row>
    <row r="65" spans="1:17" ht="15.75">
      <c r="A65" s="153" t="s">
        <v>446</v>
      </c>
      <c r="B65" s="761">
        <f aca="true" t="shared" si="24" ref="B65:P65">+B47+B52+B58</f>
        <v>1824248.2431962835</v>
      </c>
      <c r="C65" s="761">
        <f t="shared" si="24"/>
        <v>1836451.2431962835</v>
      </c>
      <c r="D65" s="761">
        <f t="shared" si="24"/>
        <v>741297.122</v>
      </c>
      <c r="E65" s="1112">
        <f t="shared" si="21"/>
        <v>0.40365739343550255</v>
      </c>
      <c r="F65" s="761">
        <f t="shared" si="24"/>
        <v>60844.71426771654</v>
      </c>
      <c r="G65" s="761">
        <f t="shared" si="24"/>
        <v>64896.71426771654</v>
      </c>
      <c r="H65" s="761">
        <f t="shared" si="24"/>
        <v>4204.473</v>
      </c>
      <c r="I65" s="1112">
        <f>H65/G65</f>
        <v>0.06478714750727455</v>
      </c>
      <c r="J65" s="761">
        <f t="shared" si="24"/>
        <v>0</v>
      </c>
      <c r="K65" s="761">
        <f t="shared" si="24"/>
        <v>0</v>
      </c>
      <c r="L65" s="761">
        <f t="shared" si="24"/>
        <v>0</v>
      </c>
      <c r="M65" s="35"/>
      <c r="N65" s="761">
        <f t="shared" si="24"/>
        <v>1885092.957464</v>
      </c>
      <c r="O65" s="1174">
        <f t="shared" si="24"/>
        <v>1901347.957464</v>
      </c>
      <c r="P65" s="1174">
        <f t="shared" si="24"/>
        <v>759039.59</v>
      </c>
      <c r="Q65" s="1112">
        <f t="shared" si="4"/>
        <v>0.39921130007807715</v>
      </c>
    </row>
  </sheetData>
  <sheetProtection/>
  <mergeCells count="7">
    <mergeCell ref="P1:Q1"/>
    <mergeCell ref="B8:E8"/>
    <mergeCell ref="N8:Q8"/>
    <mergeCell ref="J8:M8"/>
    <mergeCell ref="F8:I8"/>
    <mergeCell ref="A5:Q5"/>
    <mergeCell ref="A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1281" t="s">
        <v>551</v>
      </c>
      <c r="D2" s="1259"/>
    </row>
    <row r="3" spans="3:4" ht="12.75">
      <c r="C3" s="27"/>
      <c r="D3" s="27"/>
    </row>
    <row r="4" spans="1:5" ht="12.75">
      <c r="A4" s="1214" t="s">
        <v>1156</v>
      </c>
      <c r="B4" s="1214"/>
      <c r="C4" s="1214"/>
      <c r="D4" s="1214"/>
      <c r="E4" s="32"/>
    </row>
    <row r="6" spans="1:10" ht="15.75">
      <c r="A6" s="1304" t="s">
        <v>552</v>
      </c>
      <c r="B6" s="1304"/>
      <c r="C6" s="1304"/>
      <c r="D6" s="1304"/>
      <c r="E6" s="255"/>
      <c r="F6" s="255"/>
      <c r="G6" s="255"/>
      <c r="H6" s="255"/>
      <c r="I6" s="255"/>
      <c r="J6" s="255"/>
    </row>
    <row r="9" spans="2:3" s="10" customFormat="1" ht="12.75">
      <c r="B9" s="12" t="s">
        <v>193</v>
      </c>
      <c r="C9" s="45" t="s">
        <v>711</v>
      </c>
    </row>
    <row r="10" spans="2:3" s="10" customFormat="1" ht="12.75">
      <c r="B10" s="1349" t="s">
        <v>1125</v>
      </c>
      <c r="C10" s="1350"/>
    </row>
    <row r="11" spans="2:3" ht="12.75">
      <c r="B11" s="5" t="s">
        <v>1028</v>
      </c>
      <c r="C11" s="614" t="s">
        <v>409</v>
      </c>
    </row>
    <row r="12" spans="2:3" ht="12.75">
      <c r="B12" s="5" t="s">
        <v>1029</v>
      </c>
      <c r="C12" s="28" t="s">
        <v>712</v>
      </c>
    </row>
    <row r="13" spans="2:3" ht="12.75">
      <c r="B13" s="5" t="s">
        <v>1045</v>
      </c>
      <c r="C13" s="28" t="s">
        <v>713</v>
      </c>
    </row>
    <row r="14" spans="2:3" ht="12.75">
      <c r="B14" s="1351" t="s">
        <v>447</v>
      </c>
      <c r="C14" s="1352"/>
    </row>
    <row r="15" spans="2:3" ht="12.75">
      <c r="B15" s="257" t="s">
        <v>714</v>
      </c>
      <c r="C15" s="258"/>
    </row>
    <row r="16" spans="2:3" ht="12.75">
      <c r="B16" s="5" t="s">
        <v>1028</v>
      </c>
      <c r="C16" s="28" t="s">
        <v>1489</v>
      </c>
    </row>
    <row r="17" spans="2:3" ht="12.75">
      <c r="B17" s="5" t="s">
        <v>1029</v>
      </c>
      <c r="C17" s="28" t="s">
        <v>269</v>
      </c>
    </row>
    <row r="18" spans="2:3" ht="12.75">
      <c r="B18" s="5" t="s">
        <v>1045</v>
      </c>
      <c r="C18" s="28" t="s">
        <v>270</v>
      </c>
    </row>
    <row r="19" spans="2:3" ht="12.75">
      <c r="B19" s="5" t="s">
        <v>1047</v>
      </c>
      <c r="C19" s="28" t="s">
        <v>787</v>
      </c>
    </row>
    <row r="20" spans="2:3" ht="12.75">
      <c r="B20" s="5" t="s">
        <v>1048</v>
      </c>
      <c r="C20" s="28" t="s">
        <v>271</v>
      </c>
    </row>
    <row r="21" spans="2:3" ht="12.75">
      <c r="B21" s="5" t="s">
        <v>1049</v>
      </c>
      <c r="C21" s="28" t="s">
        <v>272</v>
      </c>
    </row>
    <row r="22" spans="2:3" ht="12.75">
      <c r="B22" s="5" t="s">
        <v>1050</v>
      </c>
      <c r="C22" s="28" t="s">
        <v>273</v>
      </c>
    </row>
    <row r="23" spans="2:3" ht="12.75">
      <c r="B23" s="5" t="s">
        <v>1051</v>
      </c>
      <c r="C23" s="28" t="s">
        <v>274</v>
      </c>
    </row>
    <row r="24" spans="2:3" ht="12.75">
      <c r="B24" s="5" t="s">
        <v>1052</v>
      </c>
      <c r="C24" s="28" t="s">
        <v>275</v>
      </c>
    </row>
    <row r="25" spans="2:3" ht="12.75">
      <c r="B25" s="5" t="s">
        <v>1053</v>
      </c>
      <c r="C25" s="28" t="s">
        <v>276</v>
      </c>
    </row>
    <row r="26" spans="2:3" ht="12.75">
      <c r="B26" s="1348" t="s">
        <v>715</v>
      </c>
      <c r="C26" s="1348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09" customWidth="1"/>
    <col min="2" max="2" width="39.421875" style="209" customWidth="1"/>
    <col min="3" max="3" width="15.57421875" style="209" customWidth="1"/>
    <col min="4" max="4" width="9.57421875" style="209" hidden="1" customWidth="1"/>
    <col min="5" max="5" width="14.00390625" style="209" customWidth="1"/>
    <col min="6" max="16384" width="9.140625" style="209" customWidth="1"/>
  </cols>
  <sheetData>
    <row r="2" spans="1:8" ht="12.75">
      <c r="A2" s="25"/>
      <c r="B2" s="25"/>
      <c r="C2" s="25"/>
      <c r="D2" s="1217" t="s">
        <v>549</v>
      </c>
      <c r="E2" s="1217"/>
      <c r="G2" s="237"/>
      <c r="H2" s="237"/>
    </row>
    <row r="3" spans="1:10" ht="12.75">
      <c r="A3" s="25"/>
      <c r="B3" s="25"/>
      <c r="C3" s="25"/>
      <c r="D3" s="10"/>
      <c r="E3" s="10"/>
      <c r="F3" s="237"/>
      <c r="G3" s="237"/>
      <c r="H3" s="237"/>
      <c r="I3" s="237"/>
      <c r="J3" s="237"/>
    </row>
    <row r="4" spans="1:10" ht="12.75">
      <c r="A4" s="1214" t="s">
        <v>1156</v>
      </c>
      <c r="B4" s="1214"/>
      <c r="C4" s="1214"/>
      <c r="D4" s="1214"/>
      <c r="E4" s="1214"/>
      <c r="F4" s="238"/>
      <c r="I4" s="237"/>
      <c r="J4" s="237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10" ht="18.75">
      <c r="A7" s="1284" t="s">
        <v>1398</v>
      </c>
      <c r="B7" s="1284"/>
      <c r="C7" s="1284"/>
      <c r="D7" s="1284"/>
      <c r="E7" s="1284"/>
      <c r="F7" s="239"/>
      <c r="G7" s="239"/>
      <c r="H7" s="239"/>
      <c r="I7" s="239"/>
      <c r="J7" s="239"/>
    </row>
    <row r="8" spans="1:10" ht="18.75">
      <c r="A8" s="1284" t="s">
        <v>1157</v>
      </c>
      <c r="B8" s="1284"/>
      <c r="C8" s="1284"/>
      <c r="D8" s="1284"/>
      <c r="E8" s="1284"/>
      <c r="F8" s="239"/>
      <c r="G8" s="239"/>
      <c r="H8" s="239"/>
      <c r="I8" s="239"/>
      <c r="J8" s="239"/>
    </row>
    <row r="9" spans="1:10" ht="18.75">
      <c r="A9" s="219"/>
      <c r="B9" s="219"/>
      <c r="C9" s="219"/>
      <c r="D9" s="219"/>
      <c r="E9" s="219"/>
      <c r="F9" s="239"/>
      <c r="G9" s="239"/>
      <c r="H9" s="239"/>
      <c r="I9" s="239"/>
      <c r="J9" s="239"/>
    </row>
    <row r="10" spans="1:10" ht="18.75">
      <c r="A10" s="219"/>
      <c r="B10" s="219"/>
      <c r="C10" s="219"/>
      <c r="D10" s="219"/>
      <c r="E10" s="219"/>
      <c r="F10" s="239"/>
      <c r="G10" s="239"/>
      <c r="H10" s="239"/>
      <c r="I10" s="239"/>
      <c r="J10" s="239"/>
    </row>
    <row r="13" spans="3:4" ht="12.75">
      <c r="C13" s="1303" t="s">
        <v>161</v>
      </c>
      <c r="D13" s="1303"/>
    </row>
    <row r="14" spans="2:4" s="220" customFormat="1" ht="32.25" customHeight="1">
      <c r="B14" s="221" t="s">
        <v>1026</v>
      </c>
      <c r="C14" s="222" t="s">
        <v>160</v>
      </c>
      <c r="D14" s="240" t="s">
        <v>280</v>
      </c>
    </row>
    <row r="15" spans="2:4" s="229" customFormat="1" ht="15.75">
      <c r="B15" s="1353" t="s">
        <v>1238</v>
      </c>
      <c r="C15" s="1353"/>
      <c r="D15" s="1353"/>
    </row>
    <row r="16" spans="2:4" s="233" customFormat="1" ht="15.75">
      <c r="B16" s="241" t="s">
        <v>1124</v>
      </c>
      <c r="C16" s="268" t="e">
        <f>#REF!</f>
        <v>#REF!</v>
      </c>
      <c r="D16" s="242"/>
    </row>
    <row r="17" spans="2:4" s="233" customFormat="1" ht="15.75">
      <c r="B17" s="241" t="s">
        <v>1239</v>
      </c>
      <c r="C17" s="268" t="e">
        <f>#REF!</f>
        <v>#REF!</v>
      </c>
      <c r="D17" s="242"/>
    </row>
    <row r="18" spans="2:4" s="233" customFormat="1" ht="15.75">
      <c r="B18" s="241" t="s">
        <v>1240</v>
      </c>
      <c r="C18" s="268" t="e">
        <f>#REF!</f>
        <v>#REF!</v>
      </c>
      <c r="D18" s="242"/>
    </row>
    <row r="19" spans="2:4" s="233" customFormat="1" ht="15.75">
      <c r="B19" s="241" t="s">
        <v>1235</v>
      </c>
      <c r="C19" s="268" t="e">
        <f>+#REF!</f>
        <v>#REF!</v>
      </c>
      <c r="D19" s="242"/>
    </row>
    <row r="20" spans="2:4" s="233" customFormat="1" ht="15.75">
      <c r="B20" s="241" t="s">
        <v>1241</v>
      </c>
      <c r="C20" s="268">
        <v>0</v>
      </c>
      <c r="D20" s="242"/>
    </row>
    <row r="21" spans="2:4" s="220" customFormat="1" ht="15.75">
      <c r="B21" s="223" t="s">
        <v>1242</v>
      </c>
      <c r="C21" s="235" t="e">
        <f>SUM(C16:C20)</f>
        <v>#REF!</v>
      </c>
      <c r="D21" s="243">
        <f>SUM(D16:D20)</f>
        <v>0</v>
      </c>
    </row>
    <row r="22" spans="2:4" s="233" customFormat="1" ht="15.75">
      <c r="B22" s="1339"/>
      <c r="C22" s="1339"/>
      <c r="D22" s="1339"/>
    </row>
    <row r="23" spans="2:4" s="233" customFormat="1" ht="15.75">
      <c r="B23" s="1333" t="s">
        <v>1243</v>
      </c>
      <c r="C23" s="1333"/>
      <c r="D23" s="1333"/>
    </row>
    <row r="24" spans="2:4" s="233" customFormat="1" ht="15.75">
      <c r="B24" s="146" t="s">
        <v>1244</v>
      </c>
      <c r="C24" s="268">
        <v>0</v>
      </c>
      <c r="D24" s="146"/>
    </row>
    <row r="25" spans="2:4" s="233" customFormat="1" ht="15.75">
      <c r="B25" s="241" t="s">
        <v>408</v>
      </c>
      <c r="C25" s="268" t="e">
        <f>#REF!</f>
        <v>#REF!</v>
      </c>
      <c r="D25" s="242"/>
    </row>
    <row r="26" spans="2:4" s="233" customFormat="1" ht="15.75">
      <c r="B26" s="241" t="s">
        <v>1245</v>
      </c>
      <c r="C26" s="268" t="e">
        <f>+#REF!</f>
        <v>#REF!</v>
      </c>
      <c r="D26" s="242"/>
    </row>
    <row r="27" spans="2:4" s="233" customFormat="1" ht="15.75">
      <c r="B27" s="241" t="s">
        <v>1246</v>
      </c>
      <c r="C27" s="268" t="e">
        <f>#REF!</f>
        <v>#REF!</v>
      </c>
      <c r="D27" s="242"/>
    </row>
    <row r="28" spans="2:4" s="220" customFormat="1" ht="15.75">
      <c r="B28" s="223" t="s">
        <v>1247</v>
      </c>
      <c r="C28" s="235" t="e">
        <f>SUM(C24:C27)</f>
        <v>#REF!</v>
      </c>
      <c r="D28" s="236">
        <f>SUM(D25:D27)</f>
        <v>0</v>
      </c>
    </row>
    <row r="35" s="25" customFormat="1" ht="12.75"/>
    <row r="36" s="25" customFormat="1" ht="12.75"/>
    <row r="37" s="25" customFormat="1" ht="12.75"/>
    <row r="38" s="25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1217" t="s">
        <v>553</v>
      </c>
      <c r="D2" s="1217"/>
      <c r="E2" s="52"/>
    </row>
    <row r="3" spans="3:5" ht="12.75">
      <c r="C3" s="52"/>
      <c r="D3" s="52"/>
      <c r="E3" s="52"/>
    </row>
    <row r="4" spans="1:5" ht="12.75">
      <c r="A4" s="1214"/>
      <c r="B4" s="1214"/>
      <c r="C4" s="1214"/>
      <c r="D4" s="1214"/>
      <c r="E4" s="52"/>
    </row>
    <row r="6" spans="1:5" ht="15.75">
      <c r="A6" s="1304"/>
      <c r="B6" s="1304"/>
      <c r="C6" s="1304"/>
      <c r="D6" s="1304"/>
      <c r="E6" s="255"/>
    </row>
    <row r="7" spans="1:5" ht="15.75">
      <c r="A7" s="142"/>
      <c r="B7" s="142"/>
      <c r="C7" s="142"/>
      <c r="D7" s="142"/>
      <c r="E7" s="142"/>
    </row>
    <row r="8" spans="1:5" ht="15.75">
      <c r="A8" s="142"/>
      <c r="B8" s="142"/>
      <c r="C8" s="142"/>
      <c r="D8" s="142"/>
      <c r="E8" s="142"/>
    </row>
    <row r="9" spans="1:5" ht="15.75">
      <c r="A9" s="142"/>
      <c r="B9" s="142"/>
      <c r="C9" s="142"/>
      <c r="D9" s="142"/>
      <c r="E9" s="142"/>
    </row>
    <row r="10" ht="12.75">
      <c r="C10" s="41" t="s">
        <v>161</v>
      </c>
    </row>
    <row r="11" spans="2:3" s="10" customFormat="1" ht="12.75">
      <c r="B11" s="210" t="s">
        <v>1269</v>
      </c>
      <c r="C11" s="12"/>
    </row>
    <row r="12" spans="2:3" ht="12.75">
      <c r="B12" s="151" t="s">
        <v>1270</v>
      </c>
      <c r="C12" s="7">
        <f>+'841901-Önk saját bevételei'!E12</f>
        <v>102000</v>
      </c>
    </row>
    <row r="13" spans="2:3" ht="12.75">
      <c r="B13" s="151" t="s">
        <v>1271</v>
      </c>
      <c r="C13" s="7">
        <f>+'841901-Önk saját bevételei'!E16</f>
        <v>12800</v>
      </c>
    </row>
    <row r="14" spans="2:3" ht="12.75">
      <c r="B14" s="151" t="s">
        <v>1272</v>
      </c>
      <c r="C14" s="7">
        <f>+'841901-Önk saját bevételei'!E18</f>
        <v>0</v>
      </c>
    </row>
    <row r="15" spans="2:3" ht="12.75">
      <c r="B15" s="151" t="s">
        <v>1273</v>
      </c>
      <c r="C15" s="7">
        <f>+'841901-Önk saját bevételei'!E22</f>
        <v>700</v>
      </c>
    </row>
    <row r="16" spans="2:3" ht="12.75">
      <c r="B16" s="151" t="s">
        <v>1274</v>
      </c>
      <c r="C16" s="7" t="e">
        <f>1am!#REF!</f>
        <v>#REF!</v>
      </c>
    </row>
    <row r="17" spans="2:3" ht="12.75">
      <c r="B17" s="151" t="s">
        <v>1275</v>
      </c>
      <c r="C17" s="7">
        <f>4am!B17</f>
        <v>100</v>
      </c>
    </row>
    <row r="18" spans="2:3" ht="12.75">
      <c r="B18" s="151" t="s">
        <v>373</v>
      </c>
      <c r="C18" s="7">
        <f>4am!B19</f>
        <v>19050</v>
      </c>
    </row>
    <row r="19" spans="2:3" ht="12.75">
      <c r="B19" s="151" t="s">
        <v>704</v>
      </c>
      <c r="C19" s="7">
        <f>4am!B18</f>
        <v>2000</v>
      </c>
    </row>
    <row r="20" spans="2:3" s="10" customFormat="1" ht="12.75">
      <c r="B20" s="210" t="s">
        <v>705</v>
      </c>
      <c r="C20" s="35" t="e">
        <f>SUM(C12:C19)</f>
        <v>#REF!</v>
      </c>
    </row>
    <row r="21" spans="2:3" ht="12.75">
      <c r="B21" s="310" t="s">
        <v>675</v>
      </c>
      <c r="C21" s="7" t="e">
        <f>4bm!J62-4bm!#REF!</f>
        <v>#REF!</v>
      </c>
    </row>
    <row r="22" spans="2:3" ht="12.75">
      <c r="B22" s="310" t="s">
        <v>703</v>
      </c>
      <c r="C22" s="7">
        <f>+4bm!J63</f>
        <v>0</v>
      </c>
    </row>
    <row r="23" spans="2:3" ht="12.75">
      <c r="B23" s="151" t="s">
        <v>706</v>
      </c>
      <c r="C23" s="7">
        <f>+4bm!J44</f>
        <v>6425.714267716536</v>
      </c>
    </row>
    <row r="24" spans="2:3" ht="12.75">
      <c r="B24" s="310" t="s">
        <v>702</v>
      </c>
      <c r="C24" s="7">
        <f>+4bm!J46</f>
        <v>5500.1</v>
      </c>
    </row>
    <row r="25" spans="2:3" ht="12.75">
      <c r="B25" s="310" t="s">
        <v>510</v>
      </c>
      <c r="C25" s="7">
        <f>'Fejlesztési kiadások'!E60</f>
        <v>1582</v>
      </c>
    </row>
    <row r="26" spans="2:3" s="41" customFormat="1" ht="12.75">
      <c r="B26" s="256" t="s">
        <v>707</v>
      </c>
      <c r="C26" s="43" t="e">
        <f>SUM(C21:C25)</f>
        <v>#REF!</v>
      </c>
    </row>
    <row r="27" spans="2:3" s="10" customFormat="1" ht="12.75">
      <c r="B27" s="210" t="s">
        <v>532</v>
      </c>
      <c r="C27" s="35" t="e">
        <f>+(C20-C26)*0.5</f>
        <v>#REF!</v>
      </c>
    </row>
    <row r="28" spans="2:3" ht="12.75">
      <c r="B28" s="145" t="s">
        <v>708</v>
      </c>
      <c r="C28" s="7" t="e">
        <f>'841126-Finanszírozási műveletek'!#REF!</f>
        <v>#REF!</v>
      </c>
    </row>
    <row r="29" spans="2:3" s="10" customFormat="1" ht="12.75">
      <c r="B29" s="210" t="s">
        <v>1075</v>
      </c>
      <c r="C29" s="35" t="e">
        <f>SUM(C27:C28)</f>
        <v>#REF!</v>
      </c>
    </row>
    <row r="30" spans="2:7" ht="12.75">
      <c r="B30" s="6" t="s">
        <v>709</v>
      </c>
      <c r="C30" s="7">
        <f>4am!B49</f>
        <v>0</v>
      </c>
      <c r="D30" s="1354"/>
      <c r="E30" s="1355"/>
      <c r="F30" s="1355"/>
      <c r="G30" s="1355"/>
    </row>
    <row r="31" spans="2:7" ht="12.75">
      <c r="B31" s="6" t="s">
        <v>710</v>
      </c>
      <c r="C31" s="7" t="e">
        <f>C29-C30</f>
        <v>#REF!</v>
      </c>
      <c r="D31" s="401"/>
      <c r="E31" s="401"/>
      <c r="F31" s="402"/>
      <c r="G31" s="401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M180"/>
  <sheetViews>
    <sheetView view="pageBreakPreview" zoomScaleSheetLayoutView="100" zoomScalePageLayoutView="0" workbookViewId="0" topLeftCell="A115">
      <selection activeCell="D132" sqref="D132"/>
    </sheetView>
  </sheetViews>
  <sheetFormatPr defaultColWidth="9.140625" defaultRowHeight="12.75"/>
  <cols>
    <col min="1" max="1" width="16.8515625" style="372" bestFit="1" customWidth="1"/>
    <col min="2" max="2" width="16.8515625" style="371" customWidth="1"/>
    <col min="3" max="3" width="61.57421875" style="372" customWidth="1"/>
    <col min="4" max="4" width="13.00390625" style="381" customWidth="1"/>
    <col min="5" max="5" width="14.00390625" style="372" customWidth="1"/>
    <col min="6" max="6" width="16.140625" style="372" customWidth="1"/>
    <col min="7" max="7" width="15.00390625" style="372" bestFit="1" customWidth="1"/>
    <col min="8" max="8" width="10.57421875" style="372" bestFit="1" customWidth="1"/>
    <col min="9" max="9" width="12.28125" style="372" customWidth="1"/>
    <col min="10" max="13" width="9.28125" style="372" bestFit="1" customWidth="1"/>
    <col min="14" max="16384" width="9.140625" style="372" customWidth="1"/>
  </cols>
  <sheetData>
    <row r="1" ht="15.75">
      <c r="C1" s="387" t="s">
        <v>174</v>
      </c>
    </row>
    <row r="2" ht="15.75">
      <c r="C2" s="387" t="s">
        <v>970</v>
      </c>
    </row>
    <row r="4" spans="1:8" ht="15">
      <c r="A4" s="1360" t="s">
        <v>163</v>
      </c>
      <c r="B4" s="1360"/>
      <c r="C4" s="1360"/>
      <c r="D4" s="1360"/>
      <c r="E4" s="1360"/>
      <c r="F4" s="388"/>
      <c r="G4" s="388"/>
      <c r="H4" s="388"/>
    </row>
    <row r="5" spans="1:13" ht="15">
      <c r="A5" s="1048">
        <v>52</v>
      </c>
      <c r="B5" s="382"/>
      <c r="C5" s="372" t="s">
        <v>1307</v>
      </c>
      <c r="E5" s="381" t="s">
        <v>29</v>
      </c>
      <c r="J5" s="381"/>
      <c r="K5" s="381"/>
      <c r="L5" s="381"/>
      <c r="M5" s="381"/>
    </row>
    <row r="6" spans="1:5" ht="15">
      <c r="A6" s="383"/>
      <c r="B6" s="382"/>
      <c r="C6" s="372" t="s">
        <v>858</v>
      </c>
      <c r="D6" s="381">
        <v>600000</v>
      </c>
      <c r="E6" s="381">
        <v>600</v>
      </c>
    </row>
    <row r="7" spans="1:5" ht="15">
      <c r="A7" s="383"/>
      <c r="B7" s="382"/>
      <c r="C7" s="372" t="s">
        <v>477</v>
      </c>
      <c r="D7" s="381">
        <v>600000</v>
      </c>
      <c r="E7" s="381">
        <v>600</v>
      </c>
    </row>
    <row r="8" spans="1:5" ht="15.75">
      <c r="A8" s="383"/>
      <c r="B8" s="382"/>
      <c r="C8" s="373" t="s">
        <v>1308</v>
      </c>
      <c r="E8" s="377">
        <v>1200</v>
      </c>
    </row>
    <row r="9" spans="1:5" ht="15.75">
      <c r="A9" s="383"/>
      <c r="B9" s="382"/>
      <c r="C9" s="373" t="s">
        <v>1150</v>
      </c>
      <c r="E9" s="377">
        <f>E8*0.27</f>
        <v>324</v>
      </c>
    </row>
    <row r="10" spans="1:7" ht="15.75">
      <c r="A10" s="431"/>
      <c r="B10" s="432"/>
      <c r="C10" s="989" t="s">
        <v>1151</v>
      </c>
      <c r="D10" s="430"/>
      <c r="E10" s="430"/>
      <c r="G10" s="381"/>
    </row>
    <row r="11" spans="1:7" ht="15">
      <c r="A11" s="328"/>
      <c r="B11" s="396"/>
      <c r="C11" s="328"/>
      <c r="D11" s="633"/>
      <c r="E11" s="633"/>
      <c r="G11" s="381"/>
    </row>
    <row r="12" spans="1:7" ht="15">
      <c r="A12" s="53">
        <v>5421</v>
      </c>
      <c r="B12" s="48"/>
      <c r="C12" s="628" t="s">
        <v>200</v>
      </c>
      <c r="D12" s="633">
        <v>100000</v>
      </c>
      <c r="E12" s="182">
        <f>ROUND(D12,-3)/1000</f>
        <v>100</v>
      </c>
      <c r="G12" s="381"/>
    </row>
    <row r="13" spans="1:7" ht="15">
      <c r="A13" s="53"/>
      <c r="B13" s="48"/>
      <c r="C13" s="616" t="s">
        <v>1310</v>
      </c>
      <c r="D13" s="633">
        <v>0</v>
      </c>
      <c r="E13" s="633">
        <f>ROUND(D13,-3)/1000</f>
        <v>0</v>
      </c>
      <c r="G13" s="381"/>
    </row>
    <row r="14" spans="1:7" ht="15">
      <c r="A14" s="53">
        <v>5431</v>
      </c>
      <c r="B14" s="48"/>
      <c r="C14" s="628" t="s">
        <v>982</v>
      </c>
      <c r="D14" s="182">
        <f>SUM(D15)</f>
        <v>0</v>
      </c>
      <c r="E14" s="182">
        <f>SUM(E15)</f>
        <v>0</v>
      </c>
      <c r="G14" s="381"/>
    </row>
    <row r="15" spans="1:7" ht="15">
      <c r="A15" s="53"/>
      <c r="B15" s="48"/>
      <c r="C15" s="616"/>
      <c r="D15" s="620"/>
      <c r="E15" s="633">
        <f aca="true" t="shared" si="0" ref="E15:E21">ROUND(D15,-3)/1000</f>
        <v>0</v>
      </c>
      <c r="G15" s="381"/>
    </row>
    <row r="16" spans="1:7" ht="15">
      <c r="A16" s="53">
        <v>5441</v>
      </c>
      <c r="B16" s="48"/>
      <c r="C16" s="53" t="s">
        <v>201</v>
      </c>
      <c r="D16" s="182">
        <f>SUM(D17:D20)</f>
        <v>213985</v>
      </c>
      <c r="E16" s="182">
        <f t="shared" si="0"/>
        <v>214</v>
      </c>
      <c r="G16" s="381"/>
    </row>
    <row r="17" spans="1:7" ht="15">
      <c r="A17" s="53"/>
      <c r="B17" s="48"/>
      <c r="C17" s="616" t="s">
        <v>833</v>
      </c>
      <c r="D17" s="633">
        <v>40000</v>
      </c>
      <c r="E17" s="633">
        <f t="shared" si="0"/>
        <v>40</v>
      </c>
      <c r="G17" s="381"/>
    </row>
    <row r="18" spans="1:7" ht="15">
      <c r="A18" s="53"/>
      <c r="B18" s="48"/>
      <c r="C18" s="328" t="s">
        <v>832</v>
      </c>
      <c r="D18" s="633">
        <v>30000</v>
      </c>
      <c r="E18" s="633">
        <f t="shared" si="0"/>
        <v>30</v>
      </c>
      <c r="G18" s="381"/>
    </row>
    <row r="19" spans="1:7" ht="15">
      <c r="A19" s="53"/>
      <c r="B19" s="48"/>
      <c r="C19" s="929" t="s">
        <v>1311</v>
      </c>
      <c r="D19" s="801">
        <v>143985</v>
      </c>
      <c r="E19" s="801">
        <f t="shared" si="0"/>
        <v>144</v>
      </c>
      <c r="G19" s="381"/>
    </row>
    <row r="20" spans="1:7" ht="15">
      <c r="A20" s="328"/>
      <c r="B20" s="396"/>
      <c r="C20" s="328" t="s">
        <v>80</v>
      </c>
      <c r="D20" s="633"/>
      <c r="E20" s="633">
        <f t="shared" si="0"/>
        <v>0</v>
      </c>
      <c r="G20" s="381"/>
    </row>
    <row r="21" spans="1:7" ht="15">
      <c r="A21" s="53">
        <v>5461</v>
      </c>
      <c r="B21" s="48"/>
      <c r="C21" s="1049" t="s">
        <v>202</v>
      </c>
      <c r="D21" s="802">
        <f>SUM(D22)</f>
        <v>1300000</v>
      </c>
      <c r="E21" s="802">
        <f t="shared" si="0"/>
        <v>1300</v>
      </c>
      <c r="G21" s="381"/>
    </row>
    <row r="22" spans="1:7" ht="15">
      <c r="A22" s="328"/>
      <c r="B22" s="396"/>
      <c r="C22" s="328"/>
      <c r="D22" s="633">
        <v>1300000</v>
      </c>
      <c r="E22" s="633"/>
      <c r="G22" s="381"/>
    </row>
    <row r="23" spans="1:7" ht="15">
      <c r="A23" s="53">
        <v>5471</v>
      </c>
      <c r="B23" s="48"/>
      <c r="C23" s="53" t="s">
        <v>984</v>
      </c>
      <c r="D23" s="182">
        <v>0</v>
      </c>
      <c r="E23" s="182">
        <f aca="true" t="shared" si="1" ref="E23:E43">ROUND(D23,-3)/1000</f>
        <v>0</v>
      </c>
      <c r="G23" s="381"/>
    </row>
    <row r="24" spans="1:7" ht="15">
      <c r="A24" s="53"/>
      <c r="B24" s="48"/>
      <c r="C24" s="53"/>
      <c r="D24" s="633"/>
      <c r="E24" s="633">
        <f t="shared" si="1"/>
        <v>0</v>
      </c>
      <c r="G24" s="381"/>
    </row>
    <row r="25" spans="1:7" ht="15">
      <c r="A25" s="53">
        <v>5491</v>
      </c>
      <c r="B25" s="48"/>
      <c r="C25" s="628" t="s">
        <v>985</v>
      </c>
      <c r="D25" s="182">
        <f>SUM(D26:D28)</f>
        <v>550000</v>
      </c>
      <c r="E25" s="182">
        <f t="shared" si="1"/>
        <v>550</v>
      </c>
      <c r="G25" s="381"/>
    </row>
    <row r="26" spans="1:7" ht="15">
      <c r="A26" s="53"/>
      <c r="B26" s="48"/>
      <c r="C26" s="928" t="s">
        <v>87</v>
      </c>
      <c r="D26" s="801">
        <v>400000</v>
      </c>
      <c r="E26" s="801">
        <f t="shared" si="1"/>
        <v>400</v>
      </c>
      <c r="G26" s="381"/>
    </row>
    <row r="27" spans="1:7" ht="15">
      <c r="A27" s="53"/>
      <c r="B27" s="48"/>
      <c r="C27" s="928" t="s">
        <v>105</v>
      </c>
      <c r="D27" s="801">
        <v>100000</v>
      </c>
      <c r="E27" s="801">
        <f t="shared" si="1"/>
        <v>100</v>
      </c>
      <c r="G27" s="381"/>
    </row>
    <row r="28" spans="1:7" ht="15">
      <c r="A28" s="53"/>
      <c r="B28" s="48"/>
      <c r="C28" s="928" t="s">
        <v>88</v>
      </c>
      <c r="D28" s="801">
        <v>50000</v>
      </c>
      <c r="E28" s="801">
        <f t="shared" si="1"/>
        <v>50</v>
      </c>
      <c r="G28" s="381"/>
    </row>
    <row r="29" spans="1:7" ht="15">
      <c r="A29" s="53">
        <v>55111</v>
      </c>
      <c r="B29" s="48"/>
      <c r="C29" s="628" t="s">
        <v>987</v>
      </c>
      <c r="D29" s="182">
        <f>SUM(D30:D32)</f>
        <v>3000000</v>
      </c>
      <c r="E29" s="182">
        <f t="shared" si="1"/>
        <v>3000</v>
      </c>
      <c r="G29" s="381"/>
    </row>
    <row r="30" spans="1:7" ht="15">
      <c r="A30" s="53"/>
      <c r="B30" s="48"/>
      <c r="C30" s="928" t="s">
        <v>834</v>
      </c>
      <c r="D30" s="633">
        <v>1560000</v>
      </c>
      <c r="E30" s="633">
        <f t="shared" si="1"/>
        <v>1560</v>
      </c>
      <c r="G30" s="381"/>
    </row>
    <row r="31" spans="1:7" ht="15">
      <c r="A31" s="53"/>
      <c r="B31" s="48"/>
      <c r="C31" s="928" t="s">
        <v>849</v>
      </c>
      <c r="D31" s="633">
        <v>240000</v>
      </c>
      <c r="E31" s="633">
        <f t="shared" si="1"/>
        <v>240</v>
      </c>
      <c r="G31" s="381"/>
    </row>
    <row r="32" spans="1:7" ht="15">
      <c r="A32" s="328"/>
      <c r="B32" s="396"/>
      <c r="C32" s="928" t="s">
        <v>850</v>
      </c>
      <c r="D32" s="633">
        <v>1200000</v>
      </c>
      <c r="E32" s="633">
        <f t="shared" si="1"/>
        <v>1200</v>
      </c>
      <c r="G32" s="381"/>
    </row>
    <row r="33" spans="1:7" ht="15">
      <c r="A33" s="53">
        <v>55119</v>
      </c>
      <c r="B33" s="48"/>
      <c r="C33" s="628" t="s">
        <v>988</v>
      </c>
      <c r="D33" s="182">
        <f>SUM(D34)</f>
        <v>0</v>
      </c>
      <c r="E33" s="182">
        <v>0</v>
      </c>
      <c r="G33" s="381"/>
    </row>
    <row r="34" spans="1:7" ht="15">
      <c r="A34" s="328"/>
      <c r="B34" s="396"/>
      <c r="C34" s="616"/>
      <c r="D34" s="633"/>
      <c r="E34" s="633"/>
      <c r="G34" s="381"/>
    </row>
    <row r="35" spans="1:9" ht="15">
      <c r="A35" s="53">
        <v>552121</v>
      </c>
      <c r="B35" s="48"/>
      <c r="C35" s="628" t="s">
        <v>1453</v>
      </c>
      <c r="D35" s="182">
        <f>SUM(D36:D37)</f>
        <v>0</v>
      </c>
      <c r="E35" s="182">
        <f t="shared" si="1"/>
        <v>0</v>
      </c>
      <c r="G35" s="1361"/>
      <c r="H35" s="1362"/>
      <c r="I35" s="1362"/>
    </row>
    <row r="36" spans="1:9" ht="15">
      <c r="A36" s="53"/>
      <c r="B36" s="48"/>
      <c r="C36" s="616" t="s">
        <v>83</v>
      </c>
      <c r="D36" s="633"/>
      <c r="E36" s="633"/>
      <c r="G36" s="415"/>
      <c r="H36" s="416"/>
      <c r="I36" s="416"/>
    </row>
    <row r="37" spans="1:7" ht="15">
      <c r="A37" s="328"/>
      <c r="B37" s="396"/>
      <c r="C37" s="616" t="s">
        <v>82</v>
      </c>
      <c r="D37" s="633"/>
      <c r="E37" s="633"/>
      <c r="G37" s="381"/>
    </row>
    <row r="38" spans="1:7" ht="15">
      <c r="A38" s="53">
        <v>55214</v>
      </c>
      <c r="B38" s="48"/>
      <c r="C38" s="628" t="s">
        <v>989</v>
      </c>
      <c r="D38" s="182">
        <f>SUM(D39)</f>
        <v>0</v>
      </c>
      <c r="E38" s="182">
        <f t="shared" si="1"/>
        <v>0</v>
      </c>
      <c r="G38" s="381"/>
    </row>
    <row r="39" spans="1:7" ht="15">
      <c r="A39" s="328"/>
      <c r="B39" s="396"/>
      <c r="C39" s="616"/>
      <c r="D39" s="633"/>
      <c r="E39" s="633">
        <f t="shared" si="1"/>
        <v>0</v>
      </c>
      <c r="G39" s="381"/>
    </row>
    <row r="40" spans="1:7" ht="15">
      <c r="A40" s="53">
        <v>55215</v>
      </c>
      <c r="B40" s="48"/>
      <c r="C40" s="628" t="s">
        <v>990</v>
      </c>
      <c r="D40" s="182">
        <f>SUM(D41)</f>
        <v>0</v>
      </c>
      <c r="E40" s="182">
        <f t="shared" si="1"/>
        <v>0</v>
      </c>
      <c r="G40" s="381"/>
    </row>
    <row r="41" spans="1:7" ht="15">
      <c r="A41" s="328"/>
      <c r="B41" s="396"/>
      <c r="C41" s="616"/>
      <c r="D41" s="633"/>
      <c r="E41" s="633">
        <f t="shared" si="1"/>
        <v>0</v>
      </c>
      <c r="G41" s="381"/>
    </row>
    <row r="42" spans="1:7" ht="15">
      <c r="A42" s="53">
        <v>55217</v>
      </c>
      <c r="B42" s="48"/>
      <c r="C42" s="628" t="s">
        <v>991</v>
      </c>
      <c r="D42" s="182">
        <f>SUM(D43)</f>
        <v>0</v>
      </c>
      <c r="E42" s="182">
        <f t="shared" si="1"/>
        <v>0</v>
      </c>
      <c r="G42" s="381"/>
    </row>
    <row r="43" spans="1:7" ht="15">
      <c r="A43" s="328"/>
      <c r="B43" s="396"/>
      <c r="C43" s="616"/>
      <c r="D43" s="633"/>
      <c r="E43" s="633">
        <f t="shared" si="1"/>
        <v>0</v>
      </c>
      <c r="G43" s="381"/>
    </row>
    <row r="44" spans="1:7" ht="15">
      <c r="A44" s="53">
        <v>55218</v>
      </c>
      <c r="B44" s="48"/>
      <c r="C44" s="628" t="s">
        <v>992</v>
      </c>
      <c r="D44" s="182">
        <f>SUM(D45:D49)</f>
        <v>1247000</v>
      </c>
      <c r="E44" s="177">
        <f aca="true" t="shared" si="2" ref="E44:E50">ROUND(D44,-3)/1000</f>
        <v>1247</v>
      </c>
      <c r="G44" s="381"/>
    </row>
    <row r="45" spans="1:7" ht="15">
      <c r="A45" s="53"/>
      <c r="B45" s="48"/>
      <c r="C45" s="1058" t="s">
        <v>103</v>
      </c>
      <c r="D45" s="633">
        <v>300000</v>
      </c>
      <c r="E45" s="620">
        <f t="shared" si="2"/>
        <v>300</v>
      </c>
      <c r="G45" s="381"/>
    </row>
    <row r="46" spans="1:7" ht="15">
      <c r="A46" s="53"/>
      <c r="B46" s="48"/>
      <c r="C46" s="616"/>
      <c r="D46" s="633"/>
      <c r="E46" s="620"/>
      <c r="G46" s="381"/>
    </row>
    <row r="47" spans="1:7" ht="15">
      <c r="A47" s="53"/>
      <c r="B47" s="48"/>
      <c r="C47" s="928" t="s">
        <v>150</v>
      </c>
      <c r="D47" s="801">
        <v>32000</v>
      </c>
      <c r="E47" s="620">
        <f t="shared" si="2"/>
        <v>32</v>
      </c>
      <c r="G47" s="381"/>
    </row>
    <row r="48" spans="1:7" ht="15">
      <c r="A48" s="53"/>
      <c r="B48" s="48"/>
      <c r="C48" s="928" t="s">
        <v>854</v>
      </c>
      <c r="D48" s="801">
        <v>600000</v>
      </c>
      <c r="E48" s="801">
        <f t="shared" si="2"/>
        <v>600</v>
      </c>
      <c r="G48" s="381"/>
    </row>
    <row r="49" spans="1:7" ht="15">
      <c r="A49" s="53"/>
      <c r="B49" s="48"/>
      <c r="C49" s="928" t="s">
        <v>1309</v>
      </c>
      <c r="D49" s="801">
        <v>315000</v>
      </c>
      <c r="E49" s="801">
        <f t="shared" si="2"/>
        <v>315</v>
      </c>
      <c r="G49" s="381"/>
    </row>
    <row r="50" spans="1:7" ht="15">
      <c r="A50" s="53">
        <v>55219</v>
      </c>
      <c r="B50" s="48"/>
      <c r="C50" s="628" t="s">
        <v>1020</v>
      </c>
      <c r="D50" s="182">
        <f>SUM(D51:D56)</f>
        <v>477250</v>
      </c>
      <c r="E50" s="182">
        <f t="shared" si="2"/>
        <v>477</v>
      </c>
      <c r="G50" s="381"/>
    </row>
    <row r="51" spans="1:7" ht="15">
      <c r="A51" s="328"/>
      <c r="B51" s="396"/>
      <c r="C51" s="616" t="s">
        <v>908</v>
      </c>
      <c r="D51" s="633"/>
      <c r="E51" s="633">
        <f aca="true" t="shared" si="3" ref="E51:E65">ROUND(D51,-3)/1000</f>
        <v>0</v>
      </c>
      <c r="G51" s="381"/>
    </row>
    <row r="52" spans="1:7" ht="15">
      <c r="A52" s="328"/>
      <c r="B52" s="396"/>
      <c r="C52" s="616" t="s">
        <v>907</v>
      </c>
      <c r="D52" s="633"/>
      <c r="E52" s="633">
        <f t="shared" si="3"/>
        <v>0</v>
      </c>
      <c r="G52" s="381"/>
    </row>
    <row r="53" spans="1:7" ht="15">
      <c r="A53" s="328"/>
      <c r="B53" s="396"/>
      <c r="C53" s="616" t="s">
        <v>1353</v>
      </c>
      <c r="D53" s="633">
        <v>47250</v>
      </c>
      <c r="E53" s="633">
        <f t="shared" si="3"/>
        <v>47</v>
      </c>
      <c r="G53" s="381"/>
    </row>
    <row r="54" spans="1:7" ht="15">
      <c r="A54" s="328"/>
      <c r="B54" s="396"/>
      <c r="C54" s="616" t="s">
        <v>85</v>
      </c>
      <c r="D54" s="633">
        <v>30000</v>
      </c>
      <c r="E54" s="633">
        <f t="shared" si="3"/>
        <v>30</v>
      </c>
      <c r="G54" s="381"/>
    </row>
    <row r="55" spans="1:7" ht="15">
      <c r="A55" s="328"/>
      <c r="B55" s="396"/>
      <c r="C55" s="928" t="s">
        <v>853</v>
      </c>
      <c r="D55" s="801">
        <v>100000</v>
      </c>
      <c r="E55" s="801">
        <f t="shared" si="3"/>
        <v>100</v>
      </c>
      <c r="G55" s="381"/>
    </row>
    <row r="56" spans="1:7" ht="15">
      <c r="A56" s="328"/>
      <c r="B56" s="396"/>
      <c r="C56" s="928" t="s">
        <v>852</v>
      </c>
      <c r="D56" s="801">
        <v>300000</v>
      </c>
      <c r="E56" s="801">
        <f t="shared" si="3"/>
        <v>300</v>
      </c>
      <c r="G56" s="381"/>
    </row>
    <row r="57" spans="1:7" ht="15">
      <c r="A57" s="328"/>
      <c r="B57" s="396"/>
      <c r="C57" s="928" t="s">
        <v>855</v>
      </c>
      <c r="D57" s="801">
        <v>110000</v>
      </c>
      <c r="E57" s="801">
        <f t="shared" si="3"/>
        <v>110</v>
      </c>
      <c r="G57" s="381"/>
    </row>
    <row r="58" spans="1:7" ht="15">
      <c r="A58" s="53">
        <v>5561</v>
      </c>
      <c r="B58" s="48"/>
      <c r="C58" s="628" t="s">
        <v>86</v>
      </c>
      <c r="D58" s="182">
        <f>SUM(D59)</f>
        <v>200000</v>
      </c>
      <c r="E58" s="182">
        <f t="shared" si="3"/>
        <v>200</v>
      </c>
      <c r="G58" s="381"/>
    </row>
    <row r="59" spans="1:7" ht="15">
      <c r="A59" s="328"/>
      <c r="B59" s="396"/>
      <c r="C59" s="616"/>
      <c r="D59" s="633">
        <v>200000</v>
      </c>
      <c r="E59" s="633">
        <f t="shared" si="3"/>
        <v>200</v>
      </c>
      <c r="G59" s="381"/>
    </row>
    <row r="60" spans="1:7" ht="15">
      <c r="A60" s="379">
        <v>56111</v>
      </c>
      <c r="B60" s="48"/>
      <c r="C60" s="53" t="s">
        <v>994</v>
      </c>
      <c r="D60" s="182"/>
      <c r="E60" s="182">
        <f t="shared" si="3"/>
        <v>0</v>
      </c>
      <c r="G60" s="381"/>
    </row>
    <row r="61" spans="1:7" ht="15">
      <c r="A61" s="53">
        <v>56319</v>
      </c>
      <c r="B61" s="48"/>
      <c r="C61" s="628" t="s">
        <v>203</v>
      </c>
      <c r="D61" s="633">
        <v>100000</v>
      </c>
      <c r="E61" s="633">
        <f t="shared" si="3"/>
        <v>100</v>
      </c>
      <c r="G61" s="381"/>
    </row>
    <row r="62" spans="1:7" ht="15">
      <c r="A62" s="53"/>
      <c r="B62" s="48"/>
      <c r="C62" s="616"/>
      <c r="D62" s="633"/>
      <c r="E62" s="633"/>
      <c r="G62" s="381"/>
    </row>
    <row r="63" spans="1:7" ht="15">
      <c r="A63" s="53"/>
      <c r="B63" s="48"/>
      <c r="C63" s="616"/>
      <c r="D63" s="633"/>
      <c r="E63" s="633">
        <f t="shared" si="3"/>
        <v>0</v>
      </c>
      <c r="G63" s="381"/>
    </row>
    <row r="64" spans="1:7" ht="15">
      <c r="A64" s="53">
        <v>5642</v>
      </c>
      <c r="B64" s="48"/>
      <c r="C64" s="1049" t="s">
        <v>439</v>
      </c>
      <c r="D64" s="801">
        <v>1000000</v>
      </c>
      <c r="E64" s="802">
        <f t="shared" si="3"/>
        <v>1000</v>
      </c>
      <c r="G64" s="381"/>
    </row>
    <row r="65" spans="1:7" ht="15">
      <c r="A65" s="53"/>
      <c r="B65" s="48"/>
      <c r="C65" s="616" t="s">
        <v>856</v>
      </c>
      <c r="D65" s="633"/>
      <c r="E65" s="633">
        <f t="shared" si="3"/>
        <v>0</v>
      </c>
      <c r="G65" s="381"/>
    </row>
    <row r="66" spans="1:7" ht="15">
      <c r="A66" s="53">
        <v>57219</v>
      </c>
      <c r="B66" s="48"/>
      <c r="C66" s="53" t="s">
        <v>89</v>
      </c>
      <c r="D66" s="182">
        <f>SUM(D67:D71)</f>
        <v>2467119</v>
      </c>
      <c r="E66" s="177">
        <f aca="true" t="shared" si="4" ref="E66:E71">ROUND(D66,-3)/1000</f>
        <v>2467</v>
      </c>
      <c r="G66" s="381"/>
    </row>
    <row r="67" spans="1:7" ht="15">
      <c r="A67" s="53"/>
      <c r="B67" s="48"/>
      <c r="C67" s="929" t="s">
        <v>1363</v>
      </c>
      <c r="D67" s="801">
        <f>585000*4</f>
        <v>2340000</v>
      </c>
      <c r="E67" s="801">
        <f t="shared" si="4"/>
        <v>2340</v>
      </c>
      <c r="G67" s="381"/>
    </row>
    <row r="68" spans="1:7" ht="15">
      <c r="A68" s="53"/>
      <c r="B68" s="48"/>
      <c r="C68" s="929" t="s">
        <v>1364</v>
      </c>
      <c r="D68" s="633">
        <v>36872</v>
      </c>
      <c r="E68" s="620">
        <f t="shared" si="4"/>
        <v>37</v>
      </c>
      <c r="G68" s="381"/>
    </row>
    <row r="69" spans="1:7" ht="15">
      <c r="A69" s="53"/>
      <c r="B69" s="48"/>
      <c r="C69" s="929" t="s">
        <v>1365</v>
      </c>
      <c r="D69" s="633">
        <v>2335</v>
      </c>
      <c r="E69" s="620">
        <f t="shared" si="4"/>
        <v>2</v>
      </c>
      <c r="G69" s="381"/>
    </row>
    <row r="70" spans="1:7" ht="15">
      <c r="A70" s="53"/>
      <c r="B70" s="48"/>
      <c r="C70" s="929" t="s">
        <v>1367</v>
      </c>
      <c r="D70" s="633">
        <f>7836*4</f>
        <v>31344</v>
      </c>
      <c r="E70" s="620">
        <f t="shared" si="4"/>
        <v>31</v>
      </c>
      <c r="G70" s="381"/>
    </row>
    <row r="71" spans="1:7" ht="15">
      <c r="A71" s="53"/>
      <c r="B71" s="48"/>
      <c r="C71" s="929" t="s">
        <v>1368</v>
      </c>
      <c r="D71" s="633">
        <f>14142*4</f>
        <v>56568</v>
      </c>
      <c r="E71" s="620">
        <f t="shared" si="4"/>
        <v>57</v>
      </c>
      <c r="G71" s="381"/>
    </row>
    <row r="72" spans="1:7" ht="15.75">
      <c r="A72" s="53"/>
      <c r="B72" s="48"/>
      <c r="C72" s="53"/>
      <c r="D72" s="633"/>
      <c r="E72" s="182"/>
      <c r="G72" s="377"/>
    </row>
    <row r="73" spans="1:7" ht="15.75">
      <c r="A73" s="1358" t="s">
        <v>162</v>
      </c>
      <c r="B73" s="1358"/>
      <c r="C73" s="1358"/>
      <c r="D73" s="1358"/>
      <c r="E73" s="420">
        <f>E12+E14+E16+E21+E23+E25+E29+E33+E35+E38+E40+E42+E44+E50+E58+E60+E61+E64+E66</f>
        <v>10655</v>
      </c>
      <c r="F73" s="381">
        <f>51079-E73</f>
        <v>40424</v>
      </c>
      <c r="G73" s="377"/>
    </row>
    <row r="74" spans="1:7" ht="15.75">
      <c r="A74" s="335"/>
      <c r="B74" s="131"/>
      <c r="C74" s="616" t="s">
        <v>335</v>
      </c>
      <c r="D74" s="633">
        <f>13247820*0.6</f>
        <v>7948692</v>
      </c>
      <c r="E74" s="182">
        <f>ROUND(D74,-3)/1000</f>
        <v>7949</v>
      </c>
      <c r="G74" s="377"/>
    </row>
    <row r="75" spans="1:7" s="392" customFormat="1" ht="15">
      <c r="A75" s="1357" t="s">
        <v>440</v>
      </c>
      <c r="B75" s="1357"/>
      <c r="C75" s="1357"/>
      <c r="D75" s="1357"/>
      <c r="E75" s="1357"/>
      <c r="G75" s="385"/>
    </row>
    <row r="76" spans="1:7" s="392" customFormat="1" ht="15">
      <c r="A76" s="114"/>
      <c r="B76" s="114"/>
      <c r="C76" s="114"/>
      <c r="D76" s="568"/>
      <c r="E76" s="114"/>
      <c r="G76" s="385"/>
    </row>
    <row r="77" spans="1:7" s="392" customFormat="1" ht="15">
      <c r="A77" s="380">
        <v>373151</v>
      </c>
      <c r="B77" s="396"/>
      <c r="C77" s="623" t="s">
        <v>1014</v>
      </c>
      <c r="D77" s="629"/>
      <c r="E77" s="625">
        <v>1300</v>
      </c>
      <c r="G77" s="385"/>
    </row>
    <row r="78" spans="1:7" s="392" customFormat="1" ht="15">
      <c r="A78" s="380">
        <v>373152</v>
      </c>
      <c r="B78" s="396"/>
      <c r="C78" s="328" t="s">
        <v>474</v>
      </c>
      <c r="D78" s="618"/>
      <c r="E78" s="633">
        <v>0</v>
      </c>
      <c r="G78" s="385"/>
    </row>
    <row r="79" spans="1:7" s="392" customFormat="1" ht="15">
      <c r="A79" s="380">
        <v>373153</v>
      </c>
      <c r="B79" s="396"/>
      <c r="C79" s="623" t="s">
        <v>725</v>
      </c>
      <c r="D79" s="629"/>
      <c r="E79" s="625"/>
      <c r="G79" s="385"/>
    </row>
    <row r="80" spans="1:7" s="392" customFormat="1" ht="15">
      <c r="A80" s="630">
        <v>373154</v>
      </c>
      <c r="B80" s="634"/>
      <c r="C80" s="623" t="s">
        <v>157</v>
      </c>
      <c r="D80" s="629"/>
      <c r="E80" s="625"/>
      <c r="G80" s="385"/>
    </row>
    <row r="81" spans="1:7" s="392" customFormat="1" ht="15">
      <c r="A81" s="380">
        <v>373161</v>
      </c>
      <c r="B81" s="396"/>
      <c r="C81" s="616" t="s">
        <v>791</v>
      </c>
      <c r="D81" s="996">
        <v>526923</v>
      </c>
      <c r="E81" s="997">
        <f>+ROUND(D81,-3)/1000</f>
        <v>527</v>
      </c>
      <c r="G81" s="385"/>
    </row>
    <row r="82" spans="1:7" s="392" customFormat="1" ht="15">
      <c r="A82" s="619">
        <v>373162</v>
      </c>
      <c r="B82" s="331"/>
      <c r="C82" s="621" t="s">
        <v>792</v>
      </c>
      <c r="D82" s="997">
        <v>10246743</v>
      </c>
      <c r="E82" s="801">
        <f>+ROUND(D82,-3)/1000</f>
        <v>10247</v>
      </c>
      <c r="G82" s="385"/>
    </row>
    <row r="83" spans="1:7" s="392" customFormat="1" ht="15">
      <c r="A83" s="380"/>
      <c r="B83" s="396"/>
      <c r="C83" s="328" t="s">
        <v>606</v>
      </c>
      <c r="D83" s="997">
        <v>267650</v>
      </c>
      <c r="E83" s="801">
        <f>+ROUND(D83,-3)/1000</f>
        <v>268</v>
      </c>
      <c r="G83" s="385"/>
    </row>
    <row r="84" spans="1:7" s="392" customFormat="1" ht="15.75">
      <c r="A84" s="1358" t="s">
        <v>441</v>
      </c>
      <c r="B84" s="1358"/>
      <c r="C84" s="1358"/>
      <c r="D84" s="1358"/>
      <c r="E84" s="420">
        <f>SUM(E77:E83)</f>
        <v>12342</v>
      </c>
      <c r="F84" s="392">
        <f>39669-39296</f>
        <v>373</v>
      </c>
      <c r="G84" s="385"/>
    </row>
    <row r="85" spans="1:7" s="392" customFormat="1" ht="15">
      <c r="A85" s="307"/>
      <c r="B85" s="417"/>
      <c r="C85" s="307"/>
      <c r="D85" s="214"/>
      <c r="E85" s="307"/>
      <c r="G85" s="385"/>
    </row>
    <row r="86" spans="1:7" s="392" customFormat="1" ht="27" customHeight="1">
      <c r="A86" s="1357" t="s">
        <v>1217</v>
      </c>
      <c r="B86" s="1357"/>
      <c r="C86" s="1357"/>
      <c r="D86" s="1357"/>
      <c r="E86" s="1357"/>
      <c r="G86" s="385"/>
    </row>
    <row r="87" spans="1:7" s="812" customFormat="1" ht="15.75">
      <c r="A87" s="811">
        <v>38115</v>
      </c>
      <c r="B87" s="811"/>
      <c r="C87" s="811" t="s">
        <v>404</v>
      </c>
      <c r="D87" s="160">
        <f>SUM(D88:D92)</f>
        <v>6000000</v>
      </c>
      <c r="E87" s="177">
        <f>+ROUND(D87,-3)/1000</f>
        <v>6000</v>
      </c>
      <c r="G87" s="813"/>
    </row>
    <row r="88" spans="1:7" s="392" customFormat="1" ht="15" customHeight="1">
      <c r="A88" s="380">
        <v>3811523</v>
      </c>
      <c r="B88" s="396">
        <v>931202</v>
      </c>
      <c r="C88" s="623" t="s">
        <v>225</v>
      </c>
      <c r="D88" s="629"/>
      <c r="E88" s="620">
        <f>+ROUND(D88,-3)/1000</f>
        <v>0</v>
      </c>
      <c r="G88" s="385"/>
    </row>
    <row r="89" spans="1:7" s="392" customFormat="1" ht="15" customHeight="1">
      <c r="A89" s="380">
        <v>3811524</v>
      </c>
      <c r="B89" s="616">
        <v>931201</v>
      </c>
      <c r="C89" s="623" t="s">
        <v>226</v>
      </c>
      <c r="D89" s="629">
        <v>4000000</v>
      </c>
      <c r="E89" s="620">
        <f>+ROUND(D89,-3)/1000</f>
        <v>4000</v>
      </c>
      <c r="G89" s="385"/>
    </row>
    <row r="90" spans="1:7" s="392" customFormat="1" ht="15" customHeight="1">
      <c r="A90" s="380">
        <v>3811525</v>
      </c>
      <c r="B90" s="616">
        <v>931201</v>
      </c>
      <c r="C90" s="623" t="s">
        <v>1483</v>
      </c>
      <c r="D90" s="629">
        <v>1000000</v>
      </c>
      <c r="E90" s="620">
        <f aca="true" t="shared" si="5" ref="E90:E110">+ROUND(D90,-3)/1000</f>
        <v>1000</v>
      </c>
      <c r="G90" s="385"/>
    </row>
    <row r="91" spans="1:7" s="392" customFormat="1" ht="15" customHeight="1">
      <c r="A91" s="380" t="s">
        <v>476</v>
      </c>
      <c r="B91" s="616">
        <v>931201</v>
      </c>
      <c r="C91" s="623" t="s">
        <v>1227</v>
      </c>
      <c r="D91" s="629">
        <v>1000000</v>
      </c>
      <c r="E91" s="620">
        <f t="shared" si="5"/>
        <v>1000</v>
      </c>
      <c r="G91" s="385"/>
    </row>
    <row r="92" spans="1:7" s="392" customFormat="1" ht="15" customHeight="1">
      <c r="A92" s="380">
        <v>38115253</v>
      </c>
      <c r="B92" s="616">
        <v>931301</v>
      </c>
      <c r="C92" s="623" t="s">
        <v>191</v>
      </c>
      <c r="D92" s="629"/>
      <c r="E92" s="620">
        <f t="shared" si="5"/>
        <v>0</v>
      </c>
      <c r="G92" s="385"/>
    </row>
    <row r="93" spans="1:7" s="392" customFormat="1" ht="15" customHeight="1">
      <c r="A93" s="380">
        <v>3811526</v>
      </c>
      <c r="B93" s="396">
        <v>890506</v>
      </c>
      <c r="C93" s="623" t="s">
        <v>227</v>
      </c>
      <c r="D93" s="629">
        <v>100000</v>
      </c>
      <c r="E93" s="620">
        <f t="shared" si="5"/>
        <v>100</v>
      </c>
      <c r="G93" s="385"/>
    </row>
    <row r="94" spans="1:7" s="392" customFormat="1" ht="15" customHeight="1">
      <c r="A94" s="380">
        <v>3811527</v>
      </c>
      <c r="B94" s="396">
        <v>890506</v>
      </c>
      <c r="C94" s="623" t="s">
        <v>228</v>
      </c>
      <c r="D94" s="629">
        <v>100000</v>
      </c>
      <c r="E94" s="620">
        <f t="shared" si="5"/>
        <v>100</v>
      </c>
      <c r="G94" s="385"/>
    </row>
    <row r="95" spans="1:7" s="392" customFormat="1" ht="15" customHeight="1">
      <c r="A95" s="380">
        <v>3811528</v>
      </c>
      <c r="B95" s="396">
        <v>890506</v>
      </c>
      <c r="C95" s="623" t="s">
        <v>154</v>
      </c>
      <c r="D95" s="629">
        <v>100000</v>
      </c>
      <c r="E95" s="620">
        <f t="shared" si="5"/>
        <v>100</v>
      </c>
      <c r="G95" s="385"/>
    </row>
    <row r="96" spans="1:7" s="392" customFormat="1" ht="15" customHeight="1">
      <c r="A96" s="380">
        <v>3811529</v>
      </c>
      <c r="B96" s="396">
        <v>890506</v>
      </c>
      <c r="C96" s="623" t="s">
        <v>155</v>
      </c>
      <c r="D96" s="629">
        <v>100000</v>
      </c>
      <c r="E96" s="620">
        <f t="shared" si="5"/>
        <v>100</v>
      </c>
      <c r="G96" s="385"/>
    </row>
    <row r="97" spans="1:7" s="392" customFormat="1" ht="15" customHeight="1">
      <c r="A97" s="380">
        <v>3811520</v>
      </c>
      <c r="B97" s="396">
        <v>890506</v>
      </c>
      <c r="C97" s="623" t="s">
        <v>156</v>
      </c>
      <c r="D97" s="629">
        <v>100000</v>
      </c>
      <c r="E97" s="620">
        <f t="shared" si="5"/>
        <v>100</v>
      </c>
      <c r="G97" s="385"/>
    </row>
    <row r="98" spans="1:7" s="392" customFormat="1" ht="15" customHeight="1">
      <c r="A98" s="380">
        <v>3811522</v>
      </c>
      <c r="B98" s="380">
        <v>841126</v>
      </c>
      <c r="C98" s="623" t="s">
        <v>726</v>
      </c>
      <c r="D98" s="629">
        <v>0</v>
      </c>
      <c r="E98" s="620">
        <f t="shared" si="5"/>
        <v>0</v>
      </c>
      <c r="G98" s="385"/>
    </row>
    <row r="99" spans="1:7" s="392" customFormat="1" ht="15" customHeight="1">
      <c r="A99" s="630">
        <v>381152221</v>
      </c>
      <c r="B99" s="630">
        <v>841126</v>
      </c>
      <c r="C99" s="623" t="s">
        <v>224</v>
      </c>
      <c r="D99" s="629">
        <v>500000</v>
      </c>
      <c r="E99" s="620">
        <f t="shared" si="5"/>
        <v>500</v>
      </c>
      <c r="G99" s="385"/>
    </row>
    <row r="100" spans="1:7" s="392" customFormat="1" ht="15" customHeight="1">
      <c r="A100" s="630">
        <v>38115231</v>
      </c>
      <c r="B100" s="630">
        <v>841126</v>
      </c>
      <c r="C100" s="623" t="s">
        <v>777</v>
      </c>
      <c r="D100" s="629">
        <v>0</v>
      </c>
      <c r="E100" s="620">
        <v>0</v>
      </c>
      <c r="G100" s="385"/>
    </row>
    <row r="101" spans="1:7" s="392" customFormat="1" ht="15" customHeight="1">
      <c r="A101" s="630">
        <v>38115241</v>
      </c>
      <c r="B101" s="630">
        <v>841126</v>
      </c>
      <c r="C101" s="623" t="s">
        <v>965</v>
      </c>
      <c r="D101" s="629">
        <v>600000</v>
      </c>
      <c r="E101" s="620">
        <f t="shared" si="5"/>
        <v>600</v>
      </c>
      <c r="G101" s="385"/>
    </row>
    <row r="102" spans="1:7" s="392" customFormat="1" ht="15" customHeight="1">
      <c r="A102" s="630">
        <v>38115271</v>
      </c>
      <c r="B102" s="630">
        <v>841126</v>
      </c>
      <c r="C102" s="616" t="s">
        <v>778</v>
      </c>
      <c r="D102" s="618">
        <v>60000</v>
      </c>
      <c r="E102" s="620">
        <f t="shared" si="5"/>
        <v>60</v>
      </c>
      <c r="F102" s="385"/>
      <c r="G102" s="385"/>
    </row>
    <row r="103" spans="1:7" s="392" customFormat="1" ht="15" customHeight="1">
      <c r="A103" s="630" t="s">
        <v>476</v>
      </c>
      <c r="B103" s="630">
        <v>841126</v>
      </c>
      <c r="C103" s="631" t="s">
        <v>475</v>
      </c>
      <c r="D103" s="629">
        <v>0</v>
      </c>
      <c r="E103" s="620">
        <f t="shared" si="5"/>
        <v>0</v>
      </c>
      <c r="F103" s="385"/>
      <c r="G103" s="385"/>
    </row>
    <row r="104" spans="1:7" s="392" customFormat="1" ht="15" customHeight="1">
      <c r="A104" s="630" t="s">
        <v>1218</v>
      </c>
      <c r="B104" s="630">
        <v>841126</v>
      </c>
      <c r="C104" s="631" t="s">
        <v>48</v>
      </c>
      <c r="D104" s="629">
        <v>10000</v>
      </c>
      <c r="E104" s="620">
        <f t="shared" si="5"/>
        <v>10</v>
      </c>
      <c r="F104" s="385"/>
      <c r="G104" s="385"/>
    </row>
    <row r="105" spans="1:7" s="392" customFormat="1" ht="15" customHeight="1">
      <c r="A105" s="630" t="s">
        <v>1218</v>
      </c>
      <c r="B105" s="630">
        <v>841126</v>
      </c>
      <c r="C105" s="400" t="s">
        <v>1233</v>
      </c>
      <c r="D105" s="618"/>
      <c r="E105" s="620">
        <f t="shared" si="5"/>
        <v>0</v>
      </c>
      <c r="F105" s="385"/>
      <c r="G105" s="385"/>
    </row>
    <row r="106" spans="1:7" s="392" customFormat="1" ht="23.25" customHeight="1">
      <c r="A106" s="630" t="s">
        <v>1218</v>
      </c>
      <c r="B106" s="630">
        <v>841126</v>
      </c>
      <c r="C106" s="400" t="s">
        <v>471</v>
      </c>
      <c r="D106" s="618">
        <v>10000000</v>
      </c>
      <c r="E106" s="620">
        <f t="shared" si="5"/>
        <v>10000</v>
      </c>
      <c r="F106" s="385"/>
      <c r="G106" s="385"/>
    </row>
    <row r="107" spans="1:7" s="392" customFormat="1" ht="15">
      <c r="A107" s="630" t="s">
        <v>1218</v>
      </c>
      <c r="B107" s="630">
        <v>841126</v>
      </c>
      <c r="C107" s="631" t="s">
        <v>394</v>
      </c>
      <c r="D107" s="629">
        <v>0</v>
      </c>
      <c r="E107" s="620">
        <v>0</v>
      </c>
      <c r="F107" s="385"/>
      <c r="G107" s="385"/>
    </row>
    <row r="108" spans="1:7" s="392" customFormat="1" ht="15">
      <c r="A108" s="630" t="s">
        <v>1218</v>
      </c>
      <c r="B108" s="630">
        <v>841126</v>
      </c>
      <c r="C108" s="631" t="s">
        <v>1369</v>
      </c>
      <c r="D108" s="629">
        <f>4*735356</f>
        <v>2941424</v>
      </c>
      <c r="E108" s="620">
        <f t="shared" si="5"/>
        <v>2941</v>
      </c>
      <c r="F108" s="385"/>
      <c r="G108" s="385"/>
    </row>
    <row r="109" spans="1:7" s="392" customFormat="1" ht="15">
      <c r="A109" s="630"/>
      <c r="B109" s="630"/>
      <c r="C109" s="631" t="s">
        <v>604</v>
      </c>
      <c r="D109" s="629">
        <v>54000000</v>
      </c>
      <c r="E109" s="620">
        <f t="shared" si="5"/>
        <v>54000</v>
      </c>
      <c r="F109" s="385"/>
      <c r="G109" s="385"/>
    </row>
    <row r="110" spans="1:7" s="392" customFormat="1" ht="15">
      <c r="A110" s="630"/>
      <c r="B110" s="630"/>
      <c r="C110" s="631" t="s">
        <v>607</v>
      </c>
      <c r="D110" s="629">
        <f>1500000*10</f>
        <v>15000000</v>
      </c>
      <c r="E110" s="620">
        <f t="shared" si="5"/>
        <v>15000</v>
      </c>
      <c r="F110" s="385"/>
      <c r="G110" s="385"/>
    </row>
    <row r="111" spans="1:7" s="392" customFormat="1" ht="15">
      <c r="A111" s="632"/>
      <c r="B111" s="630"/>
      <c r="C111" s="623" t="s">
        <v>1464</v>
      </c>
      <c r="D111" s="625"/>
      <c r="E111" s="852">
        <f>SUM(E88:E110)</f>
        <v>89611</v>
      </c>
      <c r="G111" s="385"/>
    </row>
    <row r="112" spans="1:7" s="392" customFormat="1" ht="27" customHeight="1">
      <c r="A112" s="138"/>
      <c r="B112" s="131"/>
      <c r="C112" s="133"/>
      <c r="D112" s="134"/>
      <c r="E112" s="134"/>
      <c r="G112" s="385"/>
    </row>
    <row r="113" spans="1:7" s="392" customFormat="1" ht="27" customHeight="1">
      <c r="A113" s="138"/>
      <c r="B113" s="131"/>
      <c r="C113" s="623" t="s">
        <v>151</v>
      </c>
      <c r="D113" s="369"/>
      <c r="E113" s="375">
        <v>9491</v>
      </c>
      <c r="G113" s="385"/>
    </row>
    <row r="114" spans="1:7" s="392" customFormat="1" ht="27" customHeight="1">
      <c r="A114" s="1358" t="s">
        <v>1497</v>
      </c>
      <c r="B114" s="1358"/>
      <c r="C114" s="1358"/>
      <c r="D114" s="1358"/>
      <c r="E114" s="420">
        <f>E111+E113</f>
        <v>99102</v>
      </c>
      <c r="G114" s="385"/>
    </row>
    <row r="115" spans="1:7" s="392" customFormat="1" ht="15">
      <c r="A115" s="307"/>
      <c r="B115" s="417"/>
      <c r="C115" s="307"/>
      <c r="D115" s="214"/>
      <c r="E115" s="307"/>
      <c r="G115" s="385"/>
    </row>
    <row r="116" spans="1:7" s="392" customFormat="1" ht="15.75">
      <c r="A116" s="1356" t="s">
        <v>961</v>
      </c>
      <c r="B116" s="1356"/>
      <c r="C116" s="1356"/>
      <c r="D116" s="1356"/>
      <c r="E116" s="421"/>
      <c r="G116" s="385"/>
    </row>
    <row r="117" spans="1:7" s="392" customFormat="1" ht="15">
      <c r="A117" s="307"/>
      <c r="B117" s="417"/>
      <c r="C117" s="307"/>
      <c r="D117" s="214"/>
      <c r="E117" s="307"/>
      <c r="G117" s="385"/>
    </row>
    <row r="118" spans="1:7" s="392" customFormat="1" ht="15">
      <c r="A118" s="307"/>
      <c r="B118" s="417"/>
      <c r="C118" s="307"/>
      <c r="D118" s="214"/>
      <c r="E118" s="307"/>
      <c r="G118" s="385"/>
    </row>
    <row r="119" spans="1:7" s="392" customFormat="1" ht="15">
      <c r="A119" s="1359" t="s">
        <v>164</v>
      </c>
      <c r="B119" s="1359"/>
      <c r="C119" s="1359"/>
      <c r="D119" s="1359"/>
      <c r="E119" s="1359"/>
      <c r="G119" s="385"/>
    </row>
    <row r="120" spans="1:7" s="392" customFormat="1" ht="15">
      <c r="A120" s="307"/>
      <c r="B120" s="417"/>
      <c r="C120" s="307"/>
      <c r="D120" s="214"/>
      <c r="E120" s="307"/>
      <c r="G120" s="385"/>
    </row>
    <row r="121" spans="1:7" s="392" customFormat="1" ht="15">
      <c r="A121" s="1357" t="s">
        <v>1498</v>
      </c>
      <c r="B121" s="1357"/>
      <c r="C121" s="1357"/>
      <c r="D121" s="1357"/>
      <c r="E121" s="1357"/>
      <c r="G121" s="385"/>
    </row>
    <row r="122" spans="1:7" s="386" customFormat="1" ht="15">
      <c r="A122" s="115"/>
      <c r="B122" s="417"/>
      <c r="C122" s="115"/>
      <c r="D122" s="567"/>
      <c r="E122" s="115"/>
      <c r="G122" s="393"/>
    </row>
    <row r="123" spans="1:7" s="392" customFormat="1" ht="15">
      <c r="A123" s="307"/>
      <c r="B123" s="417"/>
      <c r="C123" s="307"/>
      <c r="D123" s="214"/>
      <c r="E123" s="307"/>
      <c r="G123" s="385"/>
    </row>
    <row r="124" spans="1:7" s="392" customFormat="1" ht="15">
      <c r="A124" s="1357" t="s">
        <v>1008</v>
      </c>
      <c r="B124" s="1357"/>
      <c r="C124" s="1357"/>
      <c r="D124" s="1357"/>
      <c r="E124" s="1357"/>
      <c r="G124" s="385"/>
    </row>
    <row r="125" spans="1:7" s="392" customFormat="1" ht="15">
      <c r="A125" s="307"/>
      <c r="B125" s="417"/>
      <c r="C125" s="307"/>
      <c r="D125" s="214"/>
      <c r="E125" s="307"/>
      <c r="G125" s="385"/>
    </row>
    <row r="126" spans="1:7" s="392" customFormat="1" ht="15.75">
      <c r="A126" s="1358" t="s">
        <v>660</v>
      </c>
      <c r="B126" s="1358"/>
      <c r="C126" s="1358"/>
      <c r="D126" s="1358"/>
      <c r="E126" s="420"/>
      <c r="G126" s="385"/>
    </row>
    <row r="127" spans="1:7" s="392" customFormat="1" ht="15">
      <c r="A127" s="307"/>
      <c r="B127" s="417"/>
      <c r="C127" s="307"/>
      <c r="D127" s="214"/>
      <c r="E127" s="307"/>
      <c r="G127" s="385"/>
    </row>
    <row r="128" spans="1:7" s="392" customFormat="1" ht="15">
      <c r="A128" s="307"/>
      <c r="B128" s="417"/>
      <c r="C128" s="307"/>
      <c r="D128" s="214"/>
      <c r="E128" s="307"/>
      <c r="G128" s="385"/>
    </row>
    <row r="129" spans="1:7" s="392" customFormat="1" ht="15">
      <c r="A129" s="1357" t="s">
        <v>662</v>
      </c>
      <c r="B129" s="1357"/>
      <c r="C129" s="1357"/>
      <c r="D129" s="1357"/>
      <c r="E129" s="1357"/>
      <c r="G129" s="385"/>
    </row>
    <row r="130" spans="1:7" s="386" customFormat="1" ht="15">
      <c r="A130" s="115"/>
      <c r="B130" s="417"/>
      <c r="C130" s="115"/>
      <c r="D130" s="567"/>
      <c r="E130" s="115"/>
      <c r="G130" s="393"/>
    </row>
    <row r="131" spans="1:7" s="386" customFormat="1" ht="15">
      <c r="A131" s="380"/>
      <c r="B131" s="396"/>
      <c r="C131" s="623"/>
      <c r="D131" s="629"/>
      <c r="E131" s="629"/>
      <c r="G131" s="393"/>
    </row>
    <row r="132" spans="1:7" s="386" customFormat="1" ht="15">
      <c r="A132" s="380">
        <v>4641513</v>
      </c>
      <c r="B132" s="396"/>
      <c r="C132" s="623" t="s">
        <v>1018</v>
      </c>
      <c r="D132" s="629">
        <f>'Körjegyzőség 2013'!E15</f>
        <v>13934161</v>
      </c>
      <c r="E132" s="629">
        <v>13934</v>
      </c>
      <c r="G132" s="393"/>
    </row>
    <row r="133" spans="1:7" s="386" customFormat="1" ht="15">
      <c r="A133" s="380">
        <v>464122</v>
      </c>
      <c r="B133" s="396"/>
      <c r="C133" s="623" t="s">
        <v>1231</v>
      </c>
      <c r="D133" s="850"/>
      <c r="E133" s="629"/>
      <c r="G133" s="393"/>
    </row>
    <row r="134" spans="1:7" s="386" customFormat="1" ht="15">
      <c r="A134" s="994">
        <v>944215</v>
      </c>
      <c r="B134" s="995">
        <v>8419019</v>
      </c>
      <c r="C134" s="928" t="s">
        <v>830</v>
      </c>
      <c r="D134" s="996">
        <f>Bérek2013!Y45+Bérek2013!Z45</f>
        <v>1613280</v>
      </c>
      <c r="E134" s="997">
        <f>+ROUND(D134,-3)/1000</f>
        <v>1613</v>
      </c>
      <c r="G134" s="393"/>
    </row>
    <row r="135" spans="1:7" s="386" customFormat="1" ht="15.75">
      <c r="A135" s="138"/>
      <c r="B135" s="131"/>
      <c r="C135" s="422"/>
      <c r="D135" s="337"/>
      <c r="E135" s="422"/>
      <c r="G135" s="393"/>
    </row>
    <row r="136" spans="1:7" s="386" customFormat="1" ht="15.75">
      <c r="A136" s="418">
        <v>46416</v>
      </c>
      <c r="B136" s="419"/>
      <c r="C136" s="419" t="s">
        <v>1038</v>
      </c>
      <c r="D136" s="567"/>
      <c r="E136" s="138"/>
      <c r="G136" s="393"/>
    </row>
    <row r="137" spans="1:7" s="386" customFormat="1" ht="15">
      <c r="A137" s="115"/>
      <c r="B137" s="417"/>
      <c r="C137" s="115"/>
      <c r="D137" s="567"/>
      <c r="E137" s="115"/>
      <c r="G137" s="393"/>
    </row>
    <row r="138" spans="1:7" s="386" customFormat="1" ht="15">
      <c r="A138" s="380">
        <v>4641621</v>
      </c>
      <c r="B138" s="396"/>
      <c r="C138" s="616" t="s">
        <v>1005</v>
      </c>
      <c r="D138" s="617"/>
      <c r="E138" s="1072"/>
      <c r="G138" s="393"/>
    </row>
    <row r="139" spans="1:7" s="386" customFormat="1" ht="15">
      <c r="A139" s="380">
        <v>4641622</v>
      </c>
      <c r="B139" s="396"/>
      <c r="C139" s="616" t="s">
        <v>1006</v>
      </c>
      <c r="D139" s="617"/>
      <c r="E139" s="618">
        <v>0</v>
      </c>
      <c r="G139" s="393"/>
    </row>
    <row r="140" spans="1:7" s="386" customFormat="1" ht="15">
      <c r="A140" s="380">
        <v>4641623</v>
      </c>
      <c r="B140" s="396"/>
      <c r="C140" s="616" t="s">
        <v>1214</v>
      </c>
      <c r="D140" s="617"/>
      <c r="E140" s="618">
        <v>0</v>
      </c>
      <c r="G140" s="393"/>
    </row>
    <row r="141" spans="1:7" s="392" customFormat="1" ht="15">
      <c r="A141" s="380" t="s">
        <v>479</v>
      </c>
      <c r="B141" s="331"/>
      <c r="C141" s="412" t="s">
        <v>917</v>
      </c>
      <c r="D141" s="620"/>
      <c r="E141" s="620">
        <f>'-Eseti pénz.szoc.ell.'!E38</f>
        <v>0</v>
      </c>
      <c r="G141" s="385"/>
    </row>
    <row r="142" spans="1:7" s="392" customFormat="1" ht="15">
      <c r="A142" s="994" t="s">
        <v>479</v>
      </c>
      <c r="B142" s="995"/>
      <c r="C142" s="929" t="s">
        <v>1222</v>
      </c>
      <c r="D142" s="801"/>
      <c r="E142" s="801">
        <f>'890441-Közcélú 2012'!D62</f>
        <v>148765</v>
      </c>
      <c r="G142" s="385"/>
    </row>
    <row r="143" spans="1:7" s="392" customFormat="1" ht="15">
      <c r="A143" s="380"/>
      <c r="B143" s="331"/>
      <c r="C143" s="623" t="s">
        <v>363</v>
      </c>
      <c r="D143" s="624"/>
      <c r="E143" s="625">
        <v>0</v>
      </c>
      <c r="G143" s="385"/>
    </row>
    <row r="144" spans="1:7" s="392" customFormat="1" ht="15">
      <c r="A144" s="380"/>
      <c r="B144" s="331"/>
      <c r="C144" s="621" t="s">
        <v>451</v>
      </c>
      <c r="D144" s="622"/>
      <c r="E144" s="620"/>
      <c r="G144" s="385"/>
    </row>
    <row r="145" spans="1:7" s="392" customFormat="1" ht="15">
      <c r="A145" s="380"/>
      <c r="B145" s="331"/>
      <c r="C145" s="621" t="s">
        <v>1232</v>
      </c>
      <c r="D145" s="622"/>
      <c r="E145" s="620"/>
      <c r="G145" s="385"/>
    </row>
    <row r="146" spans="1:7" s="392" customFormat="1" ht="15">
      <c r="A146" s="380">
        <v>46415211</v>
      </c>
      <c r="B146" s="331"/>
      <c r="C146" s="623" t="s">
        <v>1111</v>
      </c>
      <c r="D146" s="624"/>
      <c r="E146" s="625">
        <v>0</v>
      </c>
      <c r="G146" s="385"/>
    </row>
    <row r="147" spans="1:7" s="392" customFormat="1" ht="15">
      <c r="A147" s="380">
        <v>46415212</v>
      </c>
      <c r="B147" s="331"/>
      <c r="C147" s="631" t="s">
        <v>49</v>
      </c>
      <c r="D147" s="624"/>
      <c r="E147" s="625">
        <v>0</v>
      </c>
      <c r="F147" s="394"/>
      <c r="G147" s="385"/>
    </row>
    <row r="148" spans="1:7" s="392" customFormat="1" ht="15">
      <c r="A148" s="380"/>
      <c r="B148" s="331"/>
      <c r="C148" s="626" t="s">
        <v>478</v>
      </c>
      <c r="D148" s="622"/>
      <c r="E148" s="620"/>
      <c r="F148" s="394"/>
      <c r="G148" s="385"/>
    </row>
    <row r="149" spans="1:7" s="392" customFormat="1" ht="15">
      <c r="A149" s="380">
        <v>464112</v>
      </c>
      <c r="B149" s="331"/>
      <c r="C149" s="626" t="s">
        <v>507</v>
      </c>
      <c r="D149" s="622"/>
      <c r="E149" s="620">
        <v>0</v>
      </c>
      <c r="F149" s="394"/>
      <c r="G149" s="385"/>
    </row>
    <row r="150" spans="1:7" s="392" customFormat="1" ht="15">
      <c r="A150" s="994">
        <v>464132</v>
      </c>
      <c r="B150" s="995"/>
      <c r="C150" s="999" t="s">
        <v>762</v>
      </c>
      <c r="D150" s="1000">
        <f>12*1867000</f>
        <v>22404000</v>
      </c>
      <c r="E150" s="801">
        <f>+ROUND(D150,-3)/1000</f>
        <v>22404</v>
      </c>
      <c r="F150" s="394"/>
      <c r="G150" s="385"/>
    </row>
    <row r="151" spans="1:7" s="392" customFormat="1" ht="15">
      <c r="A151" s="619"/>
      <c r="B151" s="331"/>
      <c r="C151" s="627" t="s">
        <v>700</v>
      </c>
      <c r="D151" s="622"/>
      <c r="E151" s="620"/>
      <c r="F151" s="394"/>
      <c r="G151" s="385"/>
    </row>
    <row r="152" spans="1:7" s="392" customFormat="1" ht="15.75">
      <c r="A152" s="1358" t="s">
        <v>177</v>
      </c>
      <c r="B152" s="1358"/>
      <c r="C152" s="1358"/>
      <c r="D152" s="1358"/>
      <c r="E152" s="420">
        <f>SUM(E131:E150)</f>
        <v>186716</v>
      </c>
      <c r="G152" s="385"/>
    </row>
    <row r="153" spans="1:7" s="392" customFormat="1" ht="15.75">
      <c r="A153" s="423"/>
      <c r="B153" s="424"/>
      <c r="C153" s="423"/>
      <c r="D153" s="569"/>
      <c r="E153" s="426"/>
      <c r="G153" s="385"/>
    </row>
    <row r="154" spans="1:7" s="392" customFormat="1" ht="15.75">
      <c r="A154" s="423"/>
      <c r="B154" s="424"/>
      <c r="C154" s="534" t="s">
        <v>347</v>
      </c>
      <c r="D154" s="570"/>
      <c r="E154" s="426">
        <f>+D155+D156</f>
        <v>0</v>
      </c>
      <c r="G154" s="385"/>
    </row>
    <row r="155" spans="1:7" s="392" customFormat="1" ht="15.75">
      <c r="A155" s="423"/>
      <c r="B155" s="424"/>
      <c r="C155" s="425"/>
      <c r="D155" s="571">
        <v>0</v>
      </c>
      <c r="E155" s="426"/>
      <c r="G155" s="385"/>
    </row>
    <row r="156" spans="1:7" s="392" customFormat="1" ht="15.75">
      <c r="A156" s="423"/>
      <c r="B156" s="424"/>
      <c r="C156" s="425"/>
      <c r="D156" s="571">
        <v>0</v>
      </c>
      <c r="E156" s="426"/>
      <c r="G156" s="385"/>
    </row>
    <row r="157" spans="1:7" s="392" customFormat="1" ht="15">
      <c r="A157" s="427" t="s">
        <v>1160</v>
      </c>
      <c r="B157" s="428"/>
      <c r="C157" s="427"/>
      <c r="D157" s="429"/>
      <c r="E157" s="429">
        <f>+E154</f>
        <v>0</v>
      </c>
      <c r="G157" s="385"/>
    </row>
    <row r="158" spans="1:7" s="392" customFormat="1" ht="15.75">
      <c r="A158" s="1356" t="s">
        <v>962</v>
      </c>
      <c r="B158" s="1356"/>
      <c r="C158" s="1356"/>
      <c r="D158" s="1356"/>
      <c r="E158" s="421"/>
      <c r="G158" s="385"/>
    </row>
    <row r="159" spans="1:7" s="392" customFormat="1" ht="15.75">
      <c r="A159" s="390"/>
      <c r="B159" s="391"/>
      <c r="C159" s="390"/>
      <c r="D159" s="393"/>
      <c r="E159" s="384"/>
      <c r="G159" s="385"/>
    </row>
    <row r="160" spans="1:7" s="392" customFormat="1" ht="15.75">
      <c r="A160" s="390"/>
      <c r="B160" s="391"/>
      <c r="C160" s="390"/>
      <c r="D160" s="393"/>
      <c r="E160" s="384"/>
      <c r="G160" s="385"/>
    </row>
    <row r="161" spans="1:7" s="392" customFormat="1" ht="15.75">
      <c r="A161" s="390"/>
      <c r="B161" s="391"/>
      <c r="C161" s="390"/>
      <c r="D161" s="393"/>
      <c r="E161" s="384"/>
      <c r="G161" s="385"/>
    </row>
    <row r="162" spans="1:7" s="392" customFormat="1" ht="15.75">
      <c r="A162" s="390"/>
      <c r="B162" s="391"/>
      <c r="C162" s="390"/>
      <c r="D162" s="393"/>
      <c r="E162" s="384"/>
      <c r="G162" s="385"/>
    </row>
    <row r="163" spans="1:7" s="392" customFormat="1" ht="15.75">
      <c r="A163" s="390"/>
      <c r="B163" s="391"/>
      <c r="C163" s="390"/>
      <c r="D163" s="393"/>
      <c r="E163" s="384"/>
      <c r="G163" s="385"/>
    </row>
    <row r="164" spans="1:7" s="392" customFormat="1" ht="15.75">
      <c r="A164" s="390"/>
      <c r="B164" s="391"/>
      <c r="C164" s="390"/>
      <c r="D164" s="393"/>
      <c r="E164" s="384"/>
      <c r="G164" s="385"/>
    </row>
    <row r="165" spans="1:7" s="392" customFormat="1" ht="15.75">
      <c r="A165" s="390"/>
      <c r="B165" s="391"/>
      <c r="C165" s="390"/>
      <c r="D165" s="393"/>
      <c r="E165" s="384"/>
      <c r="G165" s="385"/>
    </row>
    <row r="166" spans="1:7" s="392" customFormat="1" ht="15.75">
      <c r="A166" s="390"/>
      <c r="B166" s="391"/>
      <c r="C166" s="390"/>
      <c r="D166" s="393"/>
      <c r="E166" s="384"/>
      <c r="G166" s="385"/>
    </row>
    <row r="167" spans="1:7" s="392" customFormat="1" ht="15.75">
      <c r="A167" s="390"/>
      <c r="B167" s="391"/>
      <c r="C167" s="390"/>
      <c r="D167" s="393"/>
      <c r="E167" s="384"/>
      <c r="G167" s="385"/>
    </row>
    <row r="168" spans="1:7" s="392" customFormat="1" ht="15.75">
      <c r="A168" s="390"/>
      <c r="B168" s="391"/>
      <c r="C168" s="390"/>
      <c r="D168" s="393"/>
      <c r="E168" s="384"/>
      <c r="G168" s="385"/>
    </row>
    <row r="169" spans="1:7" s="392" customFormat="1" ht="15.75">
      <c r="A169" s="390"/>
      <c r="B169" s="391"/>
      <c r="C169" s="390"/>
      <c r="D169" s="393"/>
      <c r="E169" s="384"/>
      <c r="G169" s="385"/>
    </row>
    <row r="170" spans="1:7" s="392" customFormat="1" ht="15.75">
      <c r="A170" s="390"/>
      <c r="B170" s="391"/>
      <c r="C170" s="390"/>
      <c r="D170" s="393"/>
      <c r="E170" s="384"/>
      <c r="G170" s="385"/>
    </row>
    <row r="171" spans="1:7" s="392" customFormat="1" ht="15.75">
      <c r="A171" s="390"/>
      <c r="B171" s="391"/>
      <c r="C171" s="390"/>
      <c r="D171" s="393"/>
      <c r="E171" s="384"/>
      <c r="G171" s="385"/>
    </row>
    <row r="172" spans="1:7" s="392" customFormat="1" ht="15.75">
      <c r="A172" s="390"/>
      <c r="B172" s="391"/>
      <c r="C172" s="390"/>
      <c r="D172" s="393"/>
      <c r="E172" s="384"/>
      <c r="G172" s="385"/>
    </row>
    <row r="173" spans="1:7" s="392" customFormat="1" ht="15.75">
      <c r="A173" s="390"/>
      <c r="B173" s="391"/>
      <c r="C173" s="390"/>
      <c r="D173" s="393"/>
      <c r="E173" s="384"/>
      <c r="G173" s="385"/>
    </row>
    <row r="174" spans="1:7" s="392" customFormat="1" ht="15.75">
      <c r="A174" s="390"/>
      <c r="B174" s="391"/>
      <c r="C174" s="390"/>
      <c r="D174" s="393"/>
      <c r="E174" s="384"/>
      <c r="G174" s="385"/>
    </row>
    <row r="175" spans="1:7" s="392" customFormat="1" ht="15.75">
      <c r="A175" s="390"/>
      <c r="B175" s="391"/>
      <c r="C175" s="390"/>
      <c r="D175" s="393"/>
      <c r="E175" s="384"/>
      <c r="G175" s="385"/>
    </row>
    <row r="176" spans="1:7" s="392" customFormat="1" ht="15.75">
      <c r="A176" s="390"/>
      <c r="B176" s="391"/>
      <c r="C176" s="390"/>
      <c r="D176" s="393"/>
      <c r="E176" s="384"/>
      <c r="G176" s="385"/>
    </row>
    <row r="177" spans="1:7" s="392" customFormat="1" ht="15.75">
      <c r="A177" s="390"/>
      <c r="B177" s="391"/>
      <c r="C177" s="390"/>
      <c r="D177" s="393"/>
      <c r="E177" s="384"/>
      <c r="G177" s="385"/>
    </row>
    <row r="178" spans="1:7" s="392" customFormat="1" ht="15.75">
      <c r="A178" s="390"/>
      <c r="B178" s="391"/>
      <c r="C178" s="390"/>
      <c r="D178" s="393"/>
      <c r="E178" s="384"/>
      <c r="G178" s="385"/>
    </row>
    <row r="179" spans="1:7" s="392" customFormat="1" ht="15.75">
      <c r="A179" s="390"/>
      <c r="B179" s="391"/>
      <c r="C179" s="390"/>
      <c r="D179" s="393"/>
      <c r="E179" s="384"/>
      <c r="G179" s="385"/>
    </row>
    <row r="180" spans="1:7" s="392" customFormat="1" ht="15.75">
      <c r="A180" s="390"/>
      <c r="B180" s="391"/>
      <c r="C180" s="390"/>
      <c r="D180" s="393"/>
      <c r="E180" s="384"/>
      <c r="G180" s="385"/>
    </row>
  </sheetData>
  <sheetProtection/>
  <mergeCells count="15">
    <mergeCell ref="A4:E4"/>
    <mergeCell ref="A73:D73"/>
    <mergeCell ref="A75:E75"/>
    <mergeCell ref="A84:D84"/>
    <mergeCell ref="G35:I35"/>
    <mergeCell ref="A158:D158"/>
    <mergeCell ref="A124:E124"/>
    <mergeCell ref="A126:D126"/>
    <mergeCell ref="A86:E86"/>
    <mergeCell ref="A152:D152"/>
    <mergeCell ref="A116:D116"/>
    <mergeCell ref="A119:E119"/>
    <mergeCell ref="A129:E129"/>
    <mergeCell ref="A114:D114"/>
    <mergeCell ref="A121:E1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10" max="4" man="1"/>
    <brk id="73" max="4" man="1"/>
    <brk id="84" max="4" man="1"/>
    <brk id="127" max="4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F113"/>
  <sheetViews>
    <sheetView zoomScalePageLayoutView="0" workbookViewId="0" topLeftCell="A43">
      <selection activeCell="D101" sqref="D101"/>
    </sheetView>
  </sheetViews>
  <sheetFormatPr defaultColWidth="9.140625" defaultRowHeight="12.75"/>
  <cols>
    <col min="1" max="1" width="18.28125" style="0" customWidth="1"/>
    <col min="2" max="2" width="12.57421875" style="0" bestFit="1" customWidth="1"/>
    <col min="3" max="3" width="63.28125" style="0" bestFit="1" customWidth="1"/>
    <col min="4" max="4" width="12.7109375" style="0" bestFit="1" customWidth="1"/>
    <col min="5" max="5" width="14.00390625" style="0" customWidth="1"/>
  </cols>
  <sheetData>
    <row r="2" spans="1:5" ht="15.75">
      <c r="A2" s="372"/>
      <c r="B2" s="371"/>
      <c r="C2" s="387" t="s">
        <v>174</v>
      </c>
      <c r="D2" s="381"/>
      <c r="E2" s="372"/>
    </row>
    <row r="3" spans="1:5" ht="15.75">
      <c r="A3" s="372"/>
      <c r="B3" s="371"/>
      <c r="C3" s="387"/>
      <c r="D3" s="381"/>
      <c r="E3" s="372"/>
    </row>
    <row r="4" spans="1:5" ht="15">
      <c r="A4" s="372"/>
      <c r="B4" s="371"/>
      <c r="C4" s="372"/>
      <c r="D4" s="381"/>
      <c r="E4" s="372"/>
    </row>
    <row r="5" spans="1:5" ht="15">
      <c r="A5" s="1360" t="s">
        <v>163</v>
      </c>
      <c r="B5" s="1360"/>
      <c r="C5" s="1360"/>
      <c r="D5" s="1360"/>
      <c r="E5" s="1360"/>
    </row>
    <row r="6" spans="1:5" ht="15.75">
      <c r="A6" s="383"/>
      <c r="B6" s="382"/>
      <c r="C6" s="368" t="s">
        <v>176</v>
      </c>
      <c r="D6" s="381"/>
      <c r="E6" s="381" t="s">
        <v>29</v>
      </c>
    </row>
    <row r="7" spans="1:5" ht="15">
      <c r="A7" s="383"/>
      <c r="B7" s="382"/>
      <c r="C7" s="372"/>
      <c r="D7" s="381"/>
      <c r="E7" s="381"/>
    </row>
    <row r="8" spans="1:5" ht="15">
      <c r="A8" s="307" t="s">
        <v>1478</v>
      </c>
      <c r="B8" s="417" t="s">
        <v>1216</v>
      </c>
      <c r="C8" s="307" t="s">
        <v>1026</v>
      </c>
      <c r="D8" s="214"/>
      <c r="E8" s="214"/>
    </row>
    <row r="9" spans="1:5" ht="12.75">
      <c r="A9" s="328">
        <v>511111</v>
      </c>
      <c r="B9" s="396"/>
      <c r="C9" s="328" t="s">
        <v>30</v>
      </c>
      <c r="D9" s="620">
        <f>Bérek2013!Q38</f>
        <v>71497800</v>
      </c>
      <c r="E9" s="620">
        <f>ROUND(D9,-3)/1000</f>
        <v>71498</v>
      </c>
    </row>
    <row r="10" spans="1:5" ht="12.75">
      <c r="A10" s="328">
        <v>511121</v>
      </c>
      <c r="B10" s="396"/>
      <c r="C10" s="328" t="s">
        <v>31</v>
      </c>
      <c r="D10" s="620">
        <f>Bérek2013!R38</f>
        <v>1462500</v>
      </c>
      <c r="E10" s="620">
        <f>ROUND(D10,-3)/1000</f>
        <v>1463</v>
      </c>
    </row>
    <row r="11" spans="1:5" ht="24.75" customHeight="1">
      <c r="A11" s="328"/>
      <c r="B11" s="396"/>
      <c r="C11" s="636" t="s">
        <v>509</v>
      </c>
      <c r="D11" s="620"/>
      <c r="E11" s="620">
        <f aca="true" t="shared" si="0" ref="E11:E46">ROUND(D11,-3)/1000</f>
        <v>0</v>
      </c>
    </row>
    <row r="12" spans="1:5" ht="12.75">
      <c r="A12" s="328">
        <v>511131</v>
      </c>
      <c r="B12" s="396"/>
      <c r="C12" s="328" t="s">
        <v>33</v>
      </c>
      <c r="D12" s="620">
        <f>Bérek2013!S38</f>
        <v>4615100</v>
      </c>
      <c r="E12" s="620">
        <f t="shared" si="0"/>
        <v>4615</v>
      </c>
    </row>
    <row r="13" spans="1:5" ht="12.75">
      <c r="A13" s="328">
        <v>5111411</v>
      </c>
      <c r="B13" s="396"/>
      <c r="C13" s="412" t="s">
        <v>90</v>
      </c>
      <c r="D13" s="620">
        <f>Bérek2013!T38</f>
        <v>0</v>
      </c>
      <c r="E13" s="620">
        <f t="shared" si="0"/>
        <v>0</v>
      </c>
    </row>
    <row r="14" spans="1:5" ht="12.75">
      <c r="A14" s="328">
        <v>5111412</v>
      </c>
      <c r="B14" s="396"/>
      <c r="C14" s="412" t="s">
        <v>1457</v>
      </c>
      <c r="D14" s="620">
        <f>Bérek2013!U38</f>
        <v>173700</v>
      </c>
      <c r="E14" s="620">
        <f t="shared" si="0"/>
        <v>174</v>
      </c>
    </row>
    <row r="15" spans="1:5" ht="12.75">
      <c r="A15" s="328">
        <v>511115</v>
      </c>
      <c r="B15" s="396"/>
      <c r="C15" s="412" t="s">
        <v>367</v>
      </c>
      <c r="D15" s="620">
        <f>Bérek2013!Q43</f>
        <v>6540000</v>
      </c>
      <c r="E15" s="620">
        <f t="shared" si="0"/>
        <v>6540</v>
      </c>
    </row>
    <row r="16" spans="1:5" ht="13.5" thickBot="1">
      <c r="A16" s="640"/>
      <c r="B16" s="641"/>
      <c r="C16" s="642" t="s">
        <v>1352</v>
      </c>
      <c r="D16" s="957">
        <f>Bérek2013!Q44</f>
        <v>2088000</v>
      </c>
      <c r="E16" s="958">
        <f t="shared" si="0"/>
        <v>2088</v>
      </c>
    </row>
    <row r="17" spans="1:5" ht="13.5" thickBot="1">
      <c r="A17" s="637">
        <v>511</v>
      </c>
      <c r="B17" s="638"/>
      <c r="C17" s="959" t="s">
        <v>398</v>
      </c>
      <c r="D17" s="960">
        <f>SUM(D9:D16)</f>
        <v>86377100</v>
      </c>
      <c r="E17" s="961">
        <f>SUM(E9:E16)</f>
        <v>86378</v>
      </c>
    </row>
    <row r="18" spans="1:5" ht="13.5" thickBot="1">
      <c r="A18" s="328">
        <v>512172</v>
      </c>
      <c r="B18" s="396"/>
      <c r="C18" s="412" t="s">
        <v>1223</v>
      </c>
      <c r="D18" s="957"/>
      <c r="E18" s="957">
        <f t="shared" si="0"/>
        <v>0</v>
      </c>
    </row>
    <row r="19" spans="1:5" ht="13.5" thickBot="1">
      <c r="A19" s="637">
        <v>512</v>
      </c>
      <c r="B19" s="638"/>
      <c r="C19" s="959" t="s">
        <v>1461</v>
      </c>
      <c r="D19" s="960">
        <f>SUM(D18)</f>
        <v>0</v>
      </c>
      <c r="E19" s="961">
        <f t="shared" si="0"/>
        <v>0</v>
      </c>
    </row>
    <row r="20" spans="1:5" ht="12.75">
      <c r="A20" s="640">
        <v>51311</v>
      </c>
      <c r="B20" s="641"/>
      <c r="C20" s="642" t="s">
        <v>1003</v>
      </c>
      <c r="D20" s="957"/>
      <c r="E20" s="854">
        <f t="shared" si="0"/>
        <v>0</v>
      </c>
    </row>
    <row r="21" spans="1:5" ht="12.75">
      <c r="A21" s="328">
        <v>513121</v>
      </c>
      <c r="B21" s="396"/>
      <c r="C21" s="328" t="s">
        <v>393</v>
      </c>
      <c r="D21" s="620">
        <f>Bérek2013!W38</f>
        <v>2000000</v>
      </c>
      <c r="E21" s="620">
        <f t="shared" si="0"/>
        <v>2000</v>
      </c>
    </row>
    <row r="22" spans="1:5" ht="12.75">
      <c r="A22" s="328">
        <v>513131</v>
      </c>
      <c r="B22" s="396"/>
      <c r="C22" s="328" t="s">
        <v>35</v>
      </c>
      <c r="D22" s="620">
        <v>100000</v>
      </c>
      <c r="E22" s="620">
        <f t="shared" si="0"/>
        <v>100</v>
      </c>
    </row>
    <row r="23" spans="1:5" ht="12.75">
      <c r="A23" s="328">
        <v>5131911</v>
      </c>
      <c r="B23" s="396"/>
      <c r="C23" s="328" t="s">
        <v>1458</v>
      </c>
      <c r="D23" s="633"/>
      <c r="E23" s="620">
        <f t="shared" si="0"/>
        <v>0</v>
      </c>
    </row>
    <row r="24" spans="1:5" ht="13.5" thickBot="1">
      <c r="A24" s="328">
        <v>5131912</v>
      </c>
      <c r="B24" s="396"/>
      <c r="C24" s="328" t="s">
        <v>1292</v>
      </c>
      <c r="D24" s="963">
        <v>200000</v>
      </c>
      <c r="E24" s="958">
        <f t="shared" si="0"/>
        <v>200</v>
      </c>
    </row>
    <row r="25" spans="1:5" ht="13.5" thickBot="1">
      <c r="A25" s="637">
        <v>513</v>
      </c>
      <c r="B25" s="638"/>
      <c r="C25" s="962" t="s">
        <v>1462</v>
      </c>
      <c r="D25" s="964">
        <f>SUM(D20:D24)</f>
        <v>2300000</v>
      </c>
      <c r="E25" s="961">
        <f>SUM(E20:E24)</f>
        <v>2300</v>
      </c>
    </row>
    <row r="26" spans="1:5" ht="13.5" thickBot="1">
      <c r="A26" s="328">
        <v>514131</v>
      </c>
      <c r="B26" s="396"/>
      <c r="C26" s="412" t="s">
        <v>39</v>
      </c>
      <c r="D26" s="854">
        <f>'841125-115-Elsőfokú ép. hatóság'!C23+43200+108000+51840+64800+99360</f>
        <v>488160</v>
      </c>
      <c r="E26" s="1046">
        <f t="shared" si="0"/>
        <v>488</v>
      </c>
    </row>
    <row r="27" spans="1:5" ht="12.75">
      <c r="A27" s="328"/>
      <c r="B27" s="396"/>
      <c r="C27" s="328" t="s">
        <v>134</v>
      </c>
      <c r="D27" s="620"/>
      <c r="E27" s="620">
        <f t="shared" si="0"/>
        <v>0</v>
      </c>
    </row>
    <row r="28" spans="1:5" ht="12.75">
      <c r="A28" s="328">
        <v>514141</v>
      </c>
      <c r="B28" s="396"/>
      <c r="C28" s="328" t="s">
        <v>132</v>
      </c>
      <c r="D28" s="620">
        <f>Bérek2013!Z38+Bérek2013!Z42</f>
        <v>5400000</v>
      </c>
      <c r="E28" s="620">
        <f t="shared" si="0"/>
        <v>5400</v>
      </c>
    </row>
    <row r="29" spans="1:5" ht="13.5" thickBot="1">
      <c r="A29" s="328">
        <v>514191</v>
      </c>
      <c r="B29" s="396"/>
      <c r="C29" s="412" t="s">
        <v>1303</v>
      </c>
      <c r="D29" s="620">
        <f>38650*0.3*5</f>
        <v>57975</v>
      </c>
      <c r="E29" s="958">
        <f t="shared" si="0"/>
        <v>58</v>
      </c>
    </row>
    <row r="30" spans="1:5" ht="13.5" thickBot="1">
      <c r="A30" s="637">
        <v>514</v>
      </c>
      <c r="B30" s="638"/>
      <c r="C30" s="644" t="s">
        <v>1463</v>
      </c>
      <c r="D30" s="954">
        <f>SUM(D26:D29)</f>
        <v>5946135</v>
      </c>
      <c r="E30" s="961">
        <f>SUM(E26:E29)</f>
        <v>5946</v>
      </c>
    </row>
    <row r="31" spans="1:5" ht="12.75">
      <c r="A31" s="328">
        <v>5151511</v>
      </c>
      <c r="B31" s="396"/>
      <c r="C31" s="616" t="s">
        <v>1459</v>
      </c>
      <c r="D31" s="633"/>
      <c r="E31" s="854">
        <f t="shared" si="0"/>
        <v>0</v>
      </c>
    </row>
    <row r="32" spans="1:5" ht="12.75">
      <c r="A32" s="407"/>
      <c r="B32" s="407"/>
      <c r="C32" s="407" t="s">
        <v>91</v>
      </c>
      <c r="D32" s="408"/>
      <c r="E32" s="620">
        <f t="shared" si="0"/>
        <v>0</v>
      </c>
    </row>
    <row r="33" spans="1:5" ht="13.5" thickBot="1">
      <c r="A33" s="328">
        <v>5151512</v>
      </c>
      <c r="B33" s="396"/>
      <c r="C33" s="616" t="s">
        <v>1460</v>
      </c>
      <c r="D33" s="963"/>
      <c r="E33" s="958">
        <f t="shared" si="0"/>
        <v>0</v>
      </c>
    </row>
    <row r="34" spans="1:5" ht="13.5" thickBot="1">
      <c r="A34" s="637">
        <v>515</v>
      </c>
      <c r="B34" s="638"/>
      <c r="C34" s="965" t="s">
        <v>1465</v>
      </c>
      <c r="D34" s="964">
        <f>SUM(D31:D33)</f>
        <v>0</v>
      </c>
      <c r="E34" s="961">
        <f t="shared" si="0"/>
        <v>0</v>
      </c>
    </row>
    <row r="35" spans="1:5" ht="12.75">
      <c r="A35" s="328">
        <v>516111</v>
      </c>
      <c r="B35" s="396"/>
      <c r="C35" s="328" t="s">
        <v>1455</v>
      </c>
      <c r="D35" s="720"/>
      <c r="E35" s="854">
        <f t="shared" si="0"/>
        <v>0</v>
      </c>
    </row>
    <row r="36" spans="1:5" ht="12.75">
      <c r="A36" s="328"/>
      <c r="B36" s="396"/>
      <c r="C36" s="328" t="s">
        <v>1456</v>
      </c>
      <c r="D36" s="633"/>
      <c r="E36" s="620">
        <f t="shared" si="0"/>
        <v>0</v>
      </c>
    </row>
    <row r="37" spans="1:5" ht="13.5" thickBot="1">
      <c r="A37" s="645"/>
      <c r="B37" s="646"/>
      <c r="C37" s="645" t="s">
        <v>728</v>
      </c>
      <c r="D37" s="966">
        <v>1080000</v>
      </c>
      <c r="E37" s="958">
        <f t="shared" si="0"/>
        <v>1080</v>
      </c>
    </row>
    <row r="38" spans="1:5" ht="13.5" thickBot="1">
      <c r="A38" s="637">
        <v>516</v>
      </c>
      <c r="B38" s="638"/>
      <c r="C38" s="962" t="s">
        <v>1466</v>
      </c>
      <c r="D38" s="964">
        <f>SUM(D35:D37)</f>
        <v>1080000</v>
      </c>
      <c r="E38" s="961">
        <f t="shared" si="0"/>
        <v>1080</v>
      </c>
    </row>
    <row r="39" spans="1:5" ht="12.75">
      <c r="A39" s="328">
        <v>52213</v>
      </c>
      <c r="B39" s="396"/>
      <c r="C39" s="328" t="s">
        <v>1302</v>
      </c>
      <c r="D39" s="720"/>
      <c r="E39" s="854">
        <f t="shared" si="0"/>
        <v>0</v>
      </c>
    </row>
    <row r="40" spans="1:5" ht="12.75">
      <c r="A40" s="647">
        <v>5221</v>
      </c>
      <c r="B40" s="646"/>
      <c r="C40" s="616" t="s">
        <v>120</v>
      </c>
      <c r="D40" s="618"/>
      <c r="E40" s="620">
        <f t="shared" si="0"/>
        <v>0</v>
      </c>
    </row>
    <row r="41" spans="1:5" ht="12.75">
      <c r="A41" s="380">
        <v>522113</v>
      </c>
      <c r="B41" s="396"/>
      <c r="C41" s="412" t="s">
        <v>1493</v>
      </c>
      <c r="D41" s="618">
        <v>150000</v>
      </c>
      <c r="E41" s="620">
        <f t="shared" si="0"/>
        <v>150</v>
      </c>
    </row>
    <row r="42" spans="1:5" ht="12.75">
      <c r="A42" s="380">
        <v>522114</v>
      </c>
      <c r="B42" s="396"/>
      <c r="C42" s="328" t="s">
        <v>116</v>
      </c>
      <c r="D42" s="618"/>
      <c r="E42" s="620">
        <f t="shared" si="0"/>
        <v>0</v>
      </c>
    </row>
    <row r="43" spans="1:5" ht="12.75">
      <c r="A43" s="380"/>
      <c r="B43" s="396"/>
      <c r="C43" s="328"/>
      <c r="D43" s="618"/>
      <c r="E43" s="620">
        <f t="shared" si="0"/>
        <v>0</v>
      </c>
    </row>
    <row r="44" spans="1:5" ht="12.75">
      <c r="A44" s="328">
        <v>52218</v>
      </c>
      <c r="B44" s="396"/>
      <c r="C44" s="328" t="s">
        <v>793</v>
      </c>
      <c r="D44" s="326">
        <f>Bérek2013!Y45+Bérek2013!Z45</f>
        <v>1613280</v>
      </c>
      <c r="E44" s="620">
        <f t="shared" si="0"/>
        <v>1613</v>
      </c>
    </row>
    <row r="45" spans="1:5" ht="12.75">
      <c r="A45" s="328"/>
      <c r="B45" s="396"/>
      <c r="C45" s="328" t="s">
        <v>133</v>
      </c>
      <c r="D45" s="618"/>
      <c r="E45" s="620">
        <f t="shared" si="0"/>
        <v>0</v>
      </c>
    </row>
    <row r="46" spans="1:5" ht="13.5" thickBot="1">
      <c r="A46" s="328">
        <v>52219</v>
      </c>
      <c r="B46" s="396"/>
      <c r="C46" s="328" t="s">
        <v>117</v>
      </c>
      <c r="D46" s="618">
        <f>Bérek2013!Y46</f>
        <v>0</v>
      </c>
      <c r="E46" s="620">
        <f t="shared" si="0"/>
        <v>0</v>
      </c>
    </row>
    <row r="47" spans="1:5" ht="13.5" thickBot="1">
      <c r="A47" s="637">
        <v>52</v>
      </c>
      <c r="B47" s="638"/>
      <c r="C47" s="644" t="s">
        <v>1467</v>
      </c>
      <c r="D47" s="954">
        <f>SUM(D39:D46)</f>
        <v>1763280</v>
      </c>
      <c r="E47" s="177">
        <f>SUM(E39:E46)</f>
        <v>1763</v>
      </c>
    </row>
    <row r="48" spans="1:5" ht="16.5" thickBot="1">
      <c r="A48" s="955" t="s">
        <v>1484</v>
      </c>
      <c r="B48" s="956"/>
      <c r="C48" s="956"/>
      <c r="D48" s="434">
        <f>D17+D19+D25+D30+D34+D38+D47</f>
        <v>97466515</v>
      </c>
      <c r="E48" s="434">
        <f>E17+E19+E25+E30+E34+E38+E47</f>
        <v>97467</v>
      </c>
    </row>
    <row r="49" spans="1:5" ht="15">
      <c r="A49" s="307"/>
      <c r="B49" s="417"/>
      <c r="C49" s="307"/>
      <c r="D49" s="214"/>
      <c r="E49" s="214"/>
    </row>
    <row r="50" spans="1:5" ht="13.5" thickBot="1">
      <c r="A50" s="53">
        <v>53112</v>
      </c>
      <c r="B50" s="48"/>
      <c r="C50" s="53" t="s">
        <v>1198</v>
      </c>
      <c r="D50" s="633"/>
      <c r="E50" s="182">
        <f>(E17+E19+E47+E38+E21)*0.27</f>
        <v>24629.670000000002</v>
      </c>
    </row>
    <row r="51" spans="1:5" ht="16.5" thickBot="1">
      <c r="A51" s="1363" t="s">
        <v>981</v>
      </c>
      <c r="B51" s="1364"/>
      <c r="C51" s="1364"/>
      <c r="D51" s="1364"/>
      <c r="E51" s="433">
        <f>+E50</f>
        <v>24629.670000000002</v>
      </c>
    </row>
    <row r="52" spans="1:5" ht="15">
      <c r="A52" s="431"/>
      <c r="B52" s="432"/>
      <c r="C52" s="431"/>
      <c r="D52" s="430"/>
      <c r="E52" s="430"/>
    </row>
    <row r="53" spans="1:5" ht="12.75">
      <c r="A53" s="328"/>
      <c r="B53" s="396"/>
      <c r="C53" s="328"/>
      <c r="D53" s="633"/>
      <c r="E53" s="633"/>
    </row>
    <row r="54" spans="1:5" ht="12.75">
      <c r="A54" s="53">
        <v>5421</v>
      </c>
      <c r="B54" s="48"/>
      <c r="C54" s="628" t="s">
        <v>200</v>
      </c>
      <c r="D54" s="182">
        <v>0</v>
      </c>
      <c r="E54" s="182"/>
    </row>
    <row r="55" spans="1:5" ht="12.75">
      <c r="A55" s="53"/>
      <c r="B55" s="48"/>
      <c r="C55" s="616" t="s">
        <v>81</v>
      </c>
      <c r="D55" s="633"/>
      <c r="E55" s="633"/>
    </row>
    <row r="56" spans="1:5" ht="12.75">
      <c r="A56" s="53">
        <v>5431</v>
      </c>
      <c r="B56" s="48"/>
      <c r="C56" s="628" t="s">
        <v>982</v>
      </c>
      <c r="D56" s="182">
        <f>SUM(D57:D58)</f>
        <v>2047225</v>
      </c>
      <c r="E56" s="182">
        <f>SUM(E57:E58)</f>
        <v>2047</v>
      </c>
    </row>
    <row r="57" spans="1:5" ht="12.75">
      <c r="A57" s="53"/>
      <c r="B57" s="48"/>
      <c r="C57" s="928" t="s">
        <v>410</v>
      </c>
      <c r="D57" s="1059">
        <v>2000000</v>
      </c>
      <c r="E57" s="633">
        <f>ROUND(D57,-3)/1000</f>
        <v>2000</v>
      </c>
    </row>
    <row r="58" spans="1:5" ht="12.75">
      <c r="A58" s="53"/>
      <c r="B58" s="48"/>
      <c r="C58" s="928" t="s">
        <v>945</v>
      </c>
      <c r="D58" s="801">
        <v>47225</v>
      </c>
      <c r="E58" s="633">
        <f aca="true" t="shared" si="1" ref="E58:E107">ROUND(D58,-3)/1000</f>
        <v>47</v>
      </c>
    </row>
    <row r="59" spans="1:5" ht="12.75">
      <c r="A59" s="53">
        <v>5441</v>
      </c>
      <c r="B59" s="48"/>
      <c r="C59" s="53" t="s">
        <v>201</v>
      </c>
      <c r="D59" s="182">
        <f>SUM(D60:D63)</f>
        <v>464612</v>
      </c>
      <c r="E59" s="182">
        <f>SUM(E60:E63)</f>
        <v>464</v>
      </c>
    </row>
    <row r="60" spans="1:5" ht="12.75">
      <c r="A60" s="53"/>
      <c r="B60" s="48"/>
      <c r="C60" s="928" t="s">
        <v>935</v>
      </c>
      <c r="D60" s="801">
        <v>121981</v>
      </c>
      <c r="E60" s="633">
        <f t="shared" si="1"/>
        <v>122</v>
      </c>
    </row>
    <row r="61" spans="1:5" ht="12.75">
      <c r="A61" s="53"/>
      <c r="B61" s="48"/>
      <c r="C61" s="928" t="s">
        <v>936</v>
      </c>
      <c r="D61" s="801">
        <v>52471</v>
      </c>
      <c r="E61" s="633">
        <f t="shared" si="1"/>
        <v>52</v>
      </c>
    </row>
    <row r="62" spans="1:5" ht="12.75">
      <c r="A62" s="53"/>
      <c r="B62" s="48"/>
      <c r="C62" s="928" t="s">
        <v>937</v>
      </c>
      <c r="D62" s="801">
        <v>31080</v>
      </c>
      <c r="E62" s="633">
        <f t="shared" si="1"/>
        <v>31</v>
      </c>
    </row>
    <row r="63" spans="1:5" ht="12.75">
      <c r="A63" s="53"/>
      <c r="B63" s="48"/>
      <c r="C63" s="928" t="s">
        <v>939</v>
      </c>
      <c r="D63" s="801">
        <v>259080</v>
      </c>
      <c r="E63" s="633">
        <f t="shared" si="1"/>
        <v>259</v>
      </c>
    </row>
    <row r="64" spans="1:5" ht="12.75">
      <c r="A64" s="53">
        <v>5471</v>
      </c>
      <c r="B64" s="48"/>
      <c r="C64" s="53" t="s">
        <v>984</v>
      </c>
      <c r="D64" s="182">
        <f>SUM(D65)</f>
        <v>140000</v>
      </c>
      <c r="E64" s="182">
        <f>SUM(E65)</f>
        <v>140</v>
      </c>
    </row>
    <row r="65" spans="1:5" ht="12.75">
      <c r="A65" s="53"/>
      <c r="B65" s="48"/>
      <c r="C65" s="53"/>
      <c r="D65" s="633">
        <v>140000</v>
      </c>
      <c r="E65" s="633">
        <f t="shared" si="1"/>
        <v>140</v>
      </c>
    </row>
    <row r="66" spans="1:5" ht="12.75">
      <c r="A66" s="53">
        <v>5491</v>
      </c>
      <c r="B66" s="48"/>
      <c r="C66" s="628" t="s">
        <v>985</v>
      </c>
      <c r="D66" s="182">
        <f>SUM(D67:D68)</f>
        <v>425000</v>
      </c>
      <c r="E66" s="182">
        <f>SUM(E67:E68)</f>
        <v>425</v>
      </c>
    </row>
    <row r="67" spans="1:5" ht="12.75">
      <c r="A67" s="53"/>
      <c r="B67" s="48"/>
      <c r="C67" s="928" t="s">
        <v>87</v>
      </c>
      <c r="D67" s="801">
        <v>65000</v>
      </c>
      <c r="E67" s="633">
        <f t="shared" si="1"/>
        <v>65</v>
      </c>
    </row>
    <row r="68" spans="1:5" ht="12.75">
      <c r="A68" s="328"/>
      <c r="B68" s="396"/>
      <c r="C68" s="928" t="s">
        <v>104</v>
      </c>
      <c r="D68" s="801">
        <v>360000</v>
      </c>
      <c r="E68" s="182">
        <f t="shared" si="1"/>
        <v>360</v>
      </c>
    </row>
    <row r="69" spans="1:5" ht="12.75">
      <c r="A69" s="53">
        <v>55111</v>
      </c>
      <c r="B69" s="48"/>
      <c r="C69" s="628" t="s">
        <v>987</v>
      </c>
      <c r="D69" s="182">
        <f>SUM(D70)</f>
        <v>0</v>
      </c>
      <c r="E69" s="633">
        <f t="shared" si="1"/>
        <v>0</v>
      </c>
    </row>
    <row r="70" spans="1:5" ht="12.75">
      <c r="A70" s="53"/>
      <c r="B70" s="48"/>
      <c r="C70" s="616" t="s">
        <v>849</v>
      </c>
      <c r="D70" s="633"/>
      <c r="E70" s="633">
        <f t="shared" si="1"/>
        <v>0</v>
      </c>
    </row>
    <row r="71" spans="1:5" ht="12.75">
      <c r="A71" s="53">
        <v>55119</v>
      </c>
      <c r="B71" s="48"/>
      <c r="C71" s="628" t="s">
        <v>988</v>
      </c>
      <c r="D71" s="182">
        <f>SUM(D72)</f>
        <v>3360420</v>
      </c>
      <c r="E71" s="182">
        <f>SUM(E72)</f>
        <v>3360</v>
      </c>
    </row>
    <row r="72" spans="1:5" ht="12.75">
      <c r="A72" s="328"/>
      <c r="B72" s="396"/>
      <c r="C72" s="928" t="s">
        <v>946</v>
      </c>
      <c r="D72" s="801">
        <v>3360420</v>
      </c>
      <c r="E72" s="633">
        <f t="shared" si="1"/>
        <v>3360</v>
      </c>
    </row>
    <row r="73" spans="1:5" ht="12.75">
      <c r="A73" s="53">
        <v>552121</v>
      </c>
      <c r="B73" s="48"/>
      <c r="C73" s="628" t="s">
        <v>1453</v>
      </c>
      <c r="D73" s="182">
        <f>SUM(D74:D75)</f>
        <v>2700000</v>
      </c>
      <c r="E73" s="182">
        <f>SUM(E74:E75)</f>
        <v>2700</v>
      </c>
    </row>
    <row r="74" spans="1:5" ht="12.75">
      <c r="A74" s="53"/>
      <c r="B74" s="48"/>
      <c r="C74" s="616" t="s">
        <v>83</v>
      </c>
      <c r="D74" s="633">
        <v>2700000</v>
      </c>
      <c r="E74" s="633">
        <f t="shared" si="1"/>
        <v>2700</v>
      </c>
    </row>
    <row r="75" spans="1:5" ht="12.75">
      <c r="A75" s="328"/>
      <c r="B75" s="396"/>
      <c r="C75" s="616" t="s">
        <v>82</v>
      </c>
      <c r="D75" s="633"/>
      <c r="E75" s="633">
        <f t="shared" si="1"/>
        <v>0</v>
      </c>
    </row>
    <row r="76" spans="1:5" ht="12.75">
      <c r="A76" s="53">
        <v>55214</v>
      </c>
      <c r="B76" s="48"/>
      <c r="C76" s="628" t="s">
        <v>989</v>
      </c>
      <c r="D76" s="802">
        <v>3660000</v>
      </c>
      <c r="E76" s="182">
        <f t="shared" si="1"/>
        <v>3660</v>
      </c>
    </row>
    <row r="77" spans="1:5" ht="12.75">
      <c r="A77" s="328"/>
      <c r="B77" s="396"/>
      <c r="C77" s="616"/>
      <c r="D77" s="633"/>
      <c r="E77" s="633">
        <f t="shared" si="1"/>
        <v>0</v>
      </c>
    </row>
    <row r="78" spans="1:5" ht="12.75">
      <c r="A78" s="53">
        <v>55215</v>
      </c>
      <c r="B78" s="48"/>
      <c r="C78" s="628" t="s">
        <v>990</v>
      </c>
      <c r="D78" s="802">
        <v>3520000</v>
      </c>
      <c r="E78" s="182">
        <f t="shared" si="1"/>
        <v>3520</v>
      </c>
    </row>
    <row r="79" spans="1:5" ht="12.75">
      <c r="A79" s="328"/>
      <c r="B79" s="396"/>
      <c r="C79" s="616"/>
      <c r="D79" s="633"/>
      <c r="E79" s="633">
        <f>ROUND(D79,-3)/1000</f>
        <v>0</v>
      </c>
    </row>
    <row r="80" spans="1:5" ht="12.75">
      <c r="A80" s="53">
        <v>55217</v>
      </c>
      <c r="B80" s="48"/>
      <c r="C80" s="628" t="s">
        <v>991</v>
      </c>
      <c r="D80" s="802">
        <v>990000</v>
      </c>
      <c r="E80" s="182">
        <f t="shared" si="1"/>
        <v>990</v>
      </c>
    </row>
    <row r="81" spans="1:5" ht="12.75">
      <c r="A81" s="328"/>
      <c r="B81" s="396"/>
      <c r="C81" s="616"/>
      <c r="D81" s="633"/>
      <c r="E81" s="633">
        <f t="shared" si="1"/>
        <v>0</v>
      </c>
    </row>
    <row r="82" spans="1:5" ht="12.75">
      <c r="A82" s="53">
        <v>55218</v>
      </c>
      <c r="B82" s="48"/>
      <c r="C82" s="628" t="s">
        <v>992</v>
      </c>
      <c r="D82" s="182">
        <f>SUM(D83:D84)</f>
        <v>500000</v>
      </c>
      <c r="E82" s="182">
        <f t="shared" si="1"/>
        <v>500</v>
      </c>
    </row>
    <row r="83" spans="1:5" ht="12.75">
      <c r="A83" s="53"/>
      <c r="B83" s="48"/>
      <c r="C83" s="616" t="s">
        <v>84</v>
      </c>
      <c r="D83" s="633"/>
      <c r="E83" s="633">
        <f t="shared" si="1"/>
        <v>0</v>
      </c>
    </row>
    <row r="84" spans="1:5" ht="12.75">
      <c r="A84" s="53"/>
      <c r="B84" s="48"/>
      <c r="C84" s="928" t="s">
        <v>944</v>
      </c>
      <c r="D84" s="801">
        <v>500000</v>
      </c>
      <c r="E84" s="633">
        <f t="shared" si="1"/>
        <v>500</v>
      </c>
    </row>
    <row r="85" spans="1:5" ht="12.75">
      <c r="A85" s="53">
        <v>55219</v>
      </c>
      <c r="B85" s="48"/>
      <c r="C85" s="628" t="s">
        <v>1020</v>
      </c>
      <c r="D85" s="182">
        <f>SUM(D86:D88)</f>
        <v>3280000</v>
      </c>
      <c r="E85" s="182">
        <f>SUM(E86:E88)</f>
        <v>3280</v>
      </c>
    </row>
    <row r="86" spans="1:5" ht="12.75">
      <c r="A86" s="328"/>
      <c r="B86" s="396"/>
      <c r="C86" s="928" t="s">
        <v>1167</v>
      </c>
      <c r="D86" s="801">
        <v>280000</v>
      </c>
      <c r="E86" s="633">
        <f t="shared" si="1"/>
        <v>280</v>
      </c>
    </row>
    <row r="87" spans="1:6" ht="12.75">
      <c r="A87" s="328"/>
      <c r="B87" s="396"/>
      <c r="C87" s="621" t="s">
        <v>941</v>
      </c>
      <c r="D87" s="620"/>
      <c r="E87" s="633"/>
      <c r="F87">
        <v>570000</v>
      </c>
    </row>
    <row r="88" spans="1:5" ht="12.75">
      <c r="A88" s="328"/>
      <c r="B88" s="396"/>
      <c r="C88" s="928" t="s">
        <v>938</v>
      </c>
      <c r="D88" s="801">
        <v>3000000</v>
      </c>
      <c r="E88" s="633">
        <f t="shared" si="1"/>
        <v>3000</v>
      </c>
    </row>
    <row r="89" spans="1:5" ht="12.75">
      <c r="A89" s="53">
        <v>5561</v>
      </c>
      <c r="B89" s="48"/>
      <c r="C89" s="628" t="s">
        <v>86</v>
      </c>
      <c r="D89" s="182">
        <v>0</v>
      </c>
      <c r="E89" s="633">
        <f t="shared" si="1"/>
        <v>0</v>
      </c>
    </row>
    <row r="90" spans="1:5" ht="12.75">
      <c r="A90" s="328"/>
      <c r="B90" s="396"/>
      <c r="C90" s="616"/>
      <c r="D90" s="633"/>
      <c r="E90" s="633">
        <f t="shared" si="1"/>
        <v>0</v>
      </c>
    </row>
    <row r="91" spans="1:5" ht="12.75">
      <c r="A91" s="379">
        <v>56111</v>
      </c>
      <c r="B91" s="48"/>
      <c r="C91" s="53" t="s">
        <v>148</v>
      </c>
      <c r="D91" s="182">
        <f>D62*0.05</f>
        <v>1554</v>
      </c>
      <c r="E91" s="802">
        <f>E62*0.05</f>
        <v>1.55</v>
      </c>
    </row>
    <row r="92" spans="1:5" ht="12.75">
      <c r="A92" s="379"/>
      <c r="B92" s="48"/>
      <c r="C92" s="53" t="s">
        <v>149</v>
      </c>
      <c r="D92" s="182">
        <v>5647000</v>
      </c>
      <c r="E92" s="802">
        <f>(E57+E58+E60+E61+E63+E67+E68+E71+E73+E76+E78+E80+E82+E85+E89)*0.27</f>
        <v>5647.05</v>
      </c>
    </row>
    <row r="93" spans="1:5" ht="12.75">
      <c r="A93" s="53">
        <v>56211</v>
      </c>
      <c r="B93" s="48"/>
      <c r="C93" s="53" t="s">
        <v>995</v>
      </c>
      <c r="D93" s="182">
        <v>250000</v>
      </c>
      <c r="E93" s="182">
        <v>250</v>
      </c>
    </row>
    <row r="94" spans="1:5" ht="12.75">
      <c r="A94" s="53"/>
      <c r="B94" s="48"/>
      <c r="C94" s="328" t="s">
        <v>943</v>
      </c>
      <c r="D94" s="633"/>
      <c r="E94" s="633">
        <f t="shared" si="1"/>
        <v>0</v>
      </c>
    </row>
    <row r="95" spans="1:5" ht="12.75">
      <c r="A95" s="53">
        <v>56319</v>
      </c>
      <c r="B95" s="48"/>
      <c r="C95" s="628" t="s">
        <v>203</v>
      </c>
      <c r="D95" s="182">
        <f>SUM(D96:D97)</f>
        <v>65000</v>
      </c>
      <c r="E95" s="182">
        <f>SUM(E96:E97)</f>
        <v>65</v>
      </c>
    </row>
    <row r="96" spans="1:5" ht="12.75">
      <c r="A96" s="53"/>
      <c r="B96" s="48"/>
      <c r="C96" s="616" t="s">
        <v>118</v>
      </c>
      <c r="D96" s="633"/>
      <c r="E96" s="633">
        <f t="shared" si="1"/>
        <v>0</v>
      </c>
    </row>
    <row r="97" spans="1:5" ht="12.75">
      <c r="A97" s="53"/>
      <c r="B97" s="48"/>
      <c r="C97" s="616" t="s">
        <v>1015</v>
      </c>
      <c r="D97" s="633">
        <v>65000</v>
      </c>
      <c r="E97" s="633">
        <f t="shared" si="1"/>
        <v>65</v>
      </c>
    </row>
    <row r="98" spans="1:5" ht="12.75">
      <c r="A98" s="53">
        <v>5642</v>
      </c>
      <c r="B98" s="48"/>
      <c r="C98" s="628" t="s">
        <v>439</v>
      </c>
      <c r="D98" s="801">
        <v>0</v>
      </c>
      <c r="E98" s="801">
        <f t="shared" si="1"/>
        <v>0</v>
      </c>
    </row>
    <row r="99" spans="1:5" ht="12.75">
      <c r="A99" s="53"/>
      <c r="B99" s="48"/>
      <c r="C99" s="616" t="s">
        <v>1168</v>
      </c>
      <c r="D99" s="801">
        <v>0</v>
      </c>
      <c r="E99" s="801">
        <f t="shared" si="1"/>
        <v>0</v>
      </c>
    </row>
    <row r="100" spans="1:5" ht="12.75">
      <c r="A100" s="53">
        <v>57211</v>
      </c>
      <c r="B100" s="48"/>
      <c r="C100" s="628" t="s">
        <v>1193</v>
      </c>
      <c r="D100" s="802">
        <f>D101</f>
        <v>1927800</v>
      </c>
      <c r="E100" s="182">
        <f>SUM(E101)</f>
        <v>1928</v>
      </c>
    </row>
    <row r="101" spans="1:5" ht="12.75">
      <c r="A101" s="53"/>
      <c r="B101" s="48"/>
      <c r="C101" s="628" t="s">
        <v>914</v>
      </c>
      <c r="D101" s="633">
        <f>(D28+'Polg. Hiv'!Z33)*0.357</f>
        <v>1927800</v>
      </c>
      <c r="E101" s="633">
        <f t="shared" si="1"/>
        <v>1928</v>
      </c>
    </row>
    <row r="102" spans="1:5" ht="12.75">
      <c r="A102" s="53">
        <v>57213</v>
      </c>
      <c r="B102" s="48"/>
      <c r="C102" s="53" t="s">
        <v>796</v>
      </c>
      <c r="D102">
        <v>1832000</v>
      </c>
      <c r="E102" s="182">
        <v>1832</v>
      </c>
    </row>
    <row r="103" spans="1:5" ht="12.75">
      <c r="A103" s="53">
        <v>57219</v>
      </c>
      <c r="B103" s="48"/>
      <c r="C103" s="53" t="s">
        <v>89</v>
      </c>
      <c r="D103" s="182">
        <f>SUM(D104:D106)</f>
        <v>361732</v>
      </c>
      <c r="E103" s="182">
        <f>SUM(E104:E106)</f>
        <v>362</v>
      </c>
    </row>
    <row r="104" spans="1:5" ht="12.75">
      <c r="A104" s="53"/>
      <c r="B104" s="48"/>
      <c r="C104" s="929" t="s">
        <v>942</v>
      </c>
      <c r="D104" s="801">
        <v>125584</v>
      </c>
      <c r="E104" s="633">
        <f t="shared" si="1"/>
        <v>126</v>
      </c>
    </row>
    <row r="105" spans="1:5" ht="12.75">
      <c r="A105" s="53"/>
      <c r="B105" s="48"/>
      <c r="C105" s="929" t="s">
        <v>851</v>
      </c>
      <c r="D105" s="801">
        <v>34788</v>
      </c>
      <c r="E105" s="633">
        <f t="shared" si="1"/>
        <v>35</v>
      </c>
    </row>
    <row r="106" spans="1:5" ht="12.75">
      <c r="A106" s="53"/>
      <c r="B106" s="48"/>
      <c r="C106" s="929" t="s">
        <v>1169</v>
      </c>
      <c r="D106" s="801">
        <v>201360</v>
      </c>
      <c r="E106" s="633">
        <f t="shared" si="1"/>
        <v>201</v>
      </c>
    </row>
    <row r="107" spans="1:5" ht="12.75">
      <c r="A107" s="53"/>
      <c r="B107" s="48"/>
      <c r="C107" s="53"/>
      <c r="D107" s="633"/>
      <c r="E107" s="633">
        <f t="shared" si="1"/>
        <v>0</v>
      </c>
    </row>
    <row r="108" spans="1:5" ht="15.75">
      <c r="A108" s="930" t="s">
        <v>162</v>
      </c>
      <c r="B108" s="931"/>
      <c r="C108" s="931"/>
      <c r="D108" s="932">
        <f>D54+D56+D59+D64+D66+D69+D71+D73+D76+D78+D80+D82+D85+D89+D91+D93+D95+D98+D100+D102+D103+D92</f>
        <v>31172343</v>
      </c>
      <c r="E108" s="932">
        <f>E54+E56+E59+E64+E66+E69+E71+E73+E76+E78+E80+E82+E85+E89+E91+E93+E95+E98+E100+E103+E102+E92</f>
        <v>31171.6</v>
      </c>
    </row>
    <row r="109" spans="1:5" ht="15.75">
      <c r="A109" s="930"/>
      <c r="B109" s="931"/>
      <c r="C109" s="931"/>
      <c r="D109" s="967"/>
      <c r="E109" s="633"/>
    </row>
    <row r="112" spans="1:5" ht="12.75">
      <c r="A112">
        <v>91111</v>
      </c>
      <c r="C112" t="s">
        <v>554</v>
      </c>
      <c r="D112">
        <v>150000</v>
      </c>
      <c r="E112" s="10">
        <v>150</v>
      </c>
    </row>
    <row r="113" ht="12.75">
      <c r="C113" t="s">
        <v>555</v>
      </c>
    </row>
  </sheetData>
  <sheetProtection/>
  <mergeCells count="2">
    <mergeCell ref="A5:E5"/>
    <mergeCell ref="A51:D5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G115"/>
  <sheetViews>
    <sheetView view="pageBreakPreview" zoomScaleSheetLayoutView="100" zoomScalePageLayoutView="0" workbookViewId="0" topLeftCell="A91">
      <selection activeCell="D114" sqref="D114"/>
    </sheetView>
  </sheetViews>
  <sheetFormatPr defaultColWidth="9.140625" defaultRowHeight="12.75"/>
  <cols>
    <col min="1" max="1" width="10.57421875" style="0" customWidth="1"/>
    <col min="2" max="2" width="63.28125" style="0" bestFit="1" customWidth="1"/>
    <col min="3" max="3" width="14.28125" style="0" customWidth="1"/>
    <col min="4" max="4" width="11.28125" style="0" customWidth="1"/>
    <col min="5" max="5" width="12.28125" style="0" customWidth="1"/>
    <col min="6" max="6" width="12.7109375" style="0" customWidth="1"/>
  </cols>
  <sheetData>
    <row r="2" spans="1:4" ht="15.75">
      <c r="A2" s="372"/>
      <c r="B2" s="387" t="s">
        <v>174</v>
      </c>
      <c r="C2" s="381"/>
      <c r="D2" s="372"/>
    </row>
    <row r="3" spans="1:4" ht="15.75">
      <c r="A3" s="372"/>
      <c r="B3" s="387" t="s">
        <v>175</v>
      </c>
      <c r="C3" s="381"/>
      <c r="D3" s="372"/>
    </row>
    <row r="4" spans="1:4" ht="15">
      <c r="A4" s="372"/>
      <c r="B4" s="372"/>
      <c r="C4" s="381"/>
      <c r="D4" s="372"/>
    </row>
    <row r="5" spans="1:4" ht="15">
      <c r="A5" s="1360" t="s">
        <v>163</v>
      </c>
      <c r="B5" s="1360"/>
      <c r="C5" s="1360"/>
      <c r="D5" s="1360"/>
    </row>
    <row r="6" spans="1:4" ht="15">
      <c r="A6" s="383"/>
      <c r="B6" s="372"/>
      <c r="C6" s="381"/>
      <c r="D6" s="381" t="s">
        <v>29</v>
      </c>
    </row>
    <row r="7" spans="1:4" ht="15">
      <c r="A7" s="383"/>
      <c r="B7" s="372"/>
      <c r="C7" s="381"/>
      <c r="D7" s="381"/>
    </row>
    <row r="8" spans="1:6" ht="15">
      <c r="A8" s="307" t="s">
        <v>1478</v>
      </c>
      <c r="B8" s="307" t="s">
        <v>1026</v>
      </c>
      <c r="C8" s="214"/>
      <c r="D8" s="214"/>
      <c r="E8" s="20" t="s">
        <v>1298</v>
      </c>
      <c r="F8" s="10">
        <v>841133</v>
      </c>
    </row>
    <row r="9" spans="1:7" ht="12.75">
      <c r="A9" s="328">
        <v>511111</v>
      </c>
      <c r="B9" s="328" t="s">
        <v>30</v>
      </c>
      <c r="C9" s="620">
        <f>'Polg. Hiv'!D9-'841125-115-Elsőfokú ép. hatóság'!C11-'841133-adó beszedése'!C10</f>
        <v>63550400</v>
      </c>
      <c r="D9" s="620">
        <f>ROUND(C9,-3)/1000</f>
        <v>63550</v>
      </c>
      <c r="E9" s="8">
        <f>'841125-115-Elsőfokú ép. hatóság'!E11</f>
        <v>2953</v>
      </c>
      <c r="F9" s="8">
        <f>'841133-adó beszedése'!E10</f>
        <v>4994</v>
      </c>
      <c r="G9" s="8">
        <f>D9+E9+F9</f>
        <v>71497</v>
      </c>
    </row>
    <row r="10" spans="1:7" ht="12.75">
      <c r="A10" s="328">
        <v>511121</v>
      </c>
      <c r="B10" s="328" t="s">
        <v>31</v>
      </c>
      <c r="C10" s="620">
        <f>'Polg. Hiv'!D10-'841133-adó beszedése'!C11-'841125-115-Elsőfokú ép. hatóság'!C12</f>
        <v>878100</v>
      </c>
      <c r="D10" s="620">
        <f>ROUND(C10,-3)/1000</f>
        <v>878</v>
      </c>
      <c r="E10" s="8">
        <f>'841125-115-Elsőfokú ép. hatóság'!E12</f>
        <v>343</v>
      </c>
      <c r="F10" s="8">
        <f>'841133-adó beszedése'!E11</f>
        <v>241</v>
      </c>
      <c r="G10" s="8">
        <f>D10+E10+F10</f>
        <v>1462</v>
      </c>
    </row>
    <row r="11" spans="1:7" ht="45" customHeight="1">
      <c r="A11" s="328"/>
      <c r="B11" s="636" t="s">
        <v>509</v>
      </c>
      <c r="C11" s="620"/>
      <c r="D11" s="620">
        <f aca="true" t="shared" si="0" ref="D11:D49">ROUND(C11,-3)/1000</f>
        <v>0</v>
      </c>
      <c r="G11" s="8">
        <f>D11+E11+F11</f>
        <v>0</v>
      </c>
    </row>
    <row r="12" spans="1:7" ht="12.75">
      <c r="A12" s="328">
        <v>511131</v>
      </c>
      <c r="B12" s="328" t="s">
        <v>33</v>
      </c>
      <c r="C12" s="620">
        <f>'Polg. Hiv'!D12-'841125-115-Elsőfokú ép. hatóság'!C13-'841133-adó beszedése'!C12</f>
        <v>3988900</v>
      </c>
      <c r="D12" s="620">
        <f t="shared" si="0"/>
        <v>3989</v>
      </c>
      <c r="E12" s="8">
        <f>'841125-115-Elsőfokú ép. hatóság'!E13</f>
        <v>626</v>
      </c>
      <c r="F12" s="8">
        <f>'841133-adó beszedése'!E12</f>
        <v>0</v>
      </c>
      <c r="G12" s="8">
        <f>D12+E12+F12</f>
        <v>4615</v>
      </c>
    </row>
    <row r="13" spans="1:7" ht="12.75">
      <c r="A13" s="328">
        <v>5111411</v>
      </c>
      <c r="B13" s="412" t="s">
        <v>90</v>
      </c>
      <c r="C13" s="620">
        <f>Bérek2013!T38</f>
        <v>0</v>
      </c>
      <c r="D13" s="620">
        <f t="shared" si="0"/>
        <v>0</v>
      </c>
      <c r="G13" s="8">
        <f>D13+E13+F13</f>
        <v>0</v>
      </c>
    </row>
    <row r="14" spans="1:4" ht="12.75">
      <c r="A14" s="328">
        <v>5111412</v>
      </c>
      <c r="B14" s="412" t="s">
        <v>1457</v>
      </c>
      <c r="C14" s="620">
        <f>'Polg. Hiv'!D14</f>
        <v>173700</v>
      </c>
      <c r="D14" s="620">
        <f t="shared" si="0"/>
        <v>174</v>
      </c>
    </row>
    <row r="15" spans="1:4" ht="12.75">
      <c r="A15" s="328">
        <v>511116</v>
      </c>
      <c r="B15" s="412" t="s">
        <v>367</v>
      </c>
      <c r="C15" s="620">
        <f>'Polg. Hiv'!D15</f>
        <v>6540000</v>
      </c>
      <c r="D15" s="620">
        <f t="shared" si="0"/>
        <v>6540</v>
      </c>
    </row>
    <row r="16" spans="1:4" ht="13.5" thickBot="1">
      <c r="A16" s="640"/>
      <c r="B16" s="642" t="s">
        <v>1352</v>
      </c>
      <c r="C16" s="957">
        <f>Bérek2013!Q44</f>
        <v>2088000</v>
      </c>
      <c r="D16" s="958">
        <f t="shared" si="0"/>
        <v>2088</v>
      </c>
    </row>
    <row r="17" spans="1:4" ht="13.5" thickBot="1">
      <c r="A17" s="637">
        <v>511</v>
      </c>
      <c r="B17" s="959" t="s">
        <v>398</v>
      </c>
      <c r="C17" s="960">
        <f>SUM(C9:C16)</f>
        <v>77219100</v>
      </c>
      <c r="D17" s="961">
        <f t="shared" si="0"/>
        <v>77219</v>
      </c>
    </row>
    <row r="18" spans="1:4" ht="13.5" thickBot="1">
      <c r="A18" s="328">
        <v>512172</v>
      </c>
      <c r="B18" s="412" t="s">
        <v>1223</v>
      </c>
      <c r="C18" s="957"/>
      <c r="D18" s="957">
        <f t="shared" si="0"/>
        <v>0</v>
      </c>
    </row>
    <row r="19" spans="1:4" ht="13.5" thickBot="1">
      <c r="A19" s="637">
        <v>512</v>
      </c>
      <c r="B19" s="959" t="s">
        <v>1461</v>
      </c>
      <c r="C19" s="960">
        <f>SUM(C18)</f>
        <v>0</v>
      </c>
      <c r="D19" s="961">
        <f t="shared" si="0"/>
        <v>0</v>
      </c>
    </row>
    <row r="20" spans="1:4" ht="12.75">
      <c r="A20" s="640">
        <v>51311</v>
      </c>
      <c r="B20" s="642" t="s">
        <v>1003</v>
      </c>
      <c r="C20" s="957"/>
      <c r="D20" s="854">
        <f t="shared" si="0"/>
        <v>0</v>
      </c>
    </row>
    <row r="21" spans="1:4" ht="12.75">
      <c r="A21" s="328">
        <v>513121</v>
      </c>
      <c r="B21" s="328" t="s">
        <v>393</v>
      </c>
      <c r="C21" s="620">
        <f>Bérek2013!W38</f>
        <v>2000000</v>
      </c>
      <c r="D21" s="620">
        <f t="shared" si="0"/>
        <v>2000</v>
      </c>
    </row>
    <row r="22" spans="1:4" ht="12.75">
      <c r="A22" s="328"/>
      <c r="B22" s="328"/>
      <c r="C22" s="620"/>
      <c r="D22" s="620">
        <f t="shared" si="0"/>
        <v>0</v>
      </c>
    </row>
    <row r="23" spans="1:4" ht="12.75">
      <c r="A23" s="328"/>
      <c r="B23" s="328"/>
      <c r="C23" s="620"/>
      <c r="D23" s="620">
        <f t="shared" si="0"/>
        <v>0</v>
      </c>
    </row>
    <row r="24" spans="1:4" ht="12.75">
      <c r="A24" s="328">
        <v>513131</v>
      </c>
      <c r="B24" s="328" t="s">
        <v>35</v>
      </c>
      <c r="C24" s="620">
        <f>'Polg. Hiv'!D22</f>
        <v>100000</v>
      </c>
      <c r="D24" s="620">
        <f t="shared" si="0"/>
        <v>100</v>
      </c>
    </row>
    <row r="25" spans="1:4" ht="12.75">
      <c r="A25" s="328">
        <v>5131911</v>
      </c>
      <c r="B25" s="328" t="s">
        <v>1458</v>
      </c>
      <c r="C25" s="633"/>
      <c r="D25" s="620">
        <f t="shared" si="0"/>
        <v>0</v>
      </c>
    </row>
    <row r="26" spans="1:4" ht="13.5" thickBot="1">
      <c r="A26" s="328">
        <v>5131912</v>
      </c>
      <c r="B26" s="328" t="s">
        <v>1292</v>
      </c>
      <c r="C26" s="963">
        <v>200000</v>
      </c>
      <c r="D26" s="958">
        <f t="shared" si="0"/>
        <v>200</v>
      </c>
    </row>
    <row r="27" spans="1:4" ht="13.5" thickBot="1">
      <c r="A27" s="637">
        <v>513</v>
      </c>
      <c r="B27" s="962" t="s">
        <v>1462</v>
      </c>
      <c r="C27" s="964">
        <f>SUM(C20:C26)</f>
        <v>2300000</v>
      </c>
      <c r="D27" s="961">
        <f t="shared" si="0"/>
        <v>2300</v>
      </c>
    </row>
    <row r="28" spans="1:5" ht="12.75">
      <c r="A28" s="328">
        <v>514131</v>
      </c>
      <c r="B28" s="328" t="s">
        <v>39</v>
      </c>
      <c r="C28" s="854">
        <f>'Polg. Hiv'!D26-'841125-115-Elsőfokú ép. hatóság'!C23</f>
        <v>367200</v>
      </c>
      <c r="D28" s="854">
        <f t="shared" si="0"/>
        <v>367</v>
      </c>
      <c r="E28" s="8">
        <f>'841125-115-Elsőfokú ép. hatóság'!E23</f>
        <v>121</v>
      </c>
    </row>
    <row r="29" spans="1:4" ht="12.75">
      <c r="A29" s="328"/>
      <c r="B29" s="328" t="s">
        <v>134</v>
      </c>
      <c r="C29" s="620"/>
      <c r="D29" s="620">
        <f t="shared" si="0"/>
        <v>0</v>
      </c>
    </row>
    <row r="30" spans="1:7" ht="12.75">
      <c r="A30" s="328">
        <v>514141</v>
      </c>
      <c r="B30" s="328" t="s">
        <v>132</v>
      </c>
      <c r="C30" s="620">
        <f>'Polg. Hiv'!D28-'841125-115-Elsőfokú ép. hatóság'!C24-'841133-adó beszedése'!C19</f>
        <v>4800000</v>
      </c>
      <c r="D30" s="620">
        <f t="shared" si="0"/>
        <v>4800</v>
      </c>
      <c r="E30" s="8">
        <f>'841125-115-Elsőfokú ép. hatóság'!E24</f>
        <v>150</v>
      </c>
      <c r="F30" s="8">
        <f>'841133-adó beszedése'!E19</f>
        <v>450</v>
      </c>
      <c r="G30" s="8">
        <f>SUM(D30:F30)</f>
        <v>5400</v>
      </c>
    </row>
    <row r="31" spans="1:4" ht="13.5" thickBot="1">
      <c r="A31" s="328">
        <v>514191</v>
      </c>
      <c r="B31" s="328" t="s">
        <v>115</v>
      </c>
      <c r="C31" s="620">
        <f>'Polg. Hiv'!D29</f>
        <v>57975</v>
      </c>
      <c r="D31" s="958">
        <f t="shared" si="0"/>
        <v>58</v>
      </c>
    </row>
    <row r="32" spans="1:4" ht="13.5" thickBot="1">
      <c r="A32" s="637">
        <v>514</v>
      </c>
      <c r="B32" s="644" t="s">
        <v>1463</v>
      </c>
      <c r="C32" s="954">
        <f>SUM(C28:C31)</f>
        <v>5225175</v>
      </c>
      <c r="D32" s="961">
        <f t="shared" si="0"/>
        <v>5225</v>
      </c>
    </row>
    <row r="33" spans="1:4" ht="12.75">
      <c r="A33" s="328">
        <v>5151511</v>
      </c>
      <c r="B33" s="616" t="s">
        <v>1459</v>
      </c>
      <c r="C33" s="633"/>
      <c r="D33" s="854">
        <f t="shared" si="0"/>
        <v>0</v>
      </c>
    </row>
    <row r="34" spans="1:4" ht="12.75">
      <c r="A34" s="407"/>
      <c r="B34" s="407" t="s">
        <v>91</v>
      </c>
      <c r="C34" s="408"/>
      <c r="D34" s="620">
        <f t="shared" si="0"/>
        <v>0</v>
      </c>
    </row>
    <row r="35" spans="1:4" ht="13.5" thickBot="1">
      <c r="A35" s="328">
        <v>5151512</v>
      </c>
      <c r="B35" s="616" t="s">
        <v>1460</v>
      </c>
      <c r="C35" s="963"/>
      <c r="D35" s="958">
        <f t="shared" si="0"/>
        <v>0</v>
      </c>
    </row>
    <row r="36" spans="1:4" ht="13.5" thickBot="1">
      <c r="A36" s="637">
        <v>515</v>
      </c>
      <c r="B36" s="965" t="s">
        <v>1465</v>
      </c>
      <c r="C36" s="964">
        <f>SUM(C33:C35)</f>
        <v>0</v>
      </c>
      <c r="D36" s="961">
        <f t="shared" si="0"/>
        <v>0</v>
      </c>
    </row>
    <row r="37" spans="1:4" ht="12.75">
      <c r="A37" s="328">
        <v>516111</v>
      </c>
      <c r="B37" s="328" t="s">
        <v>1455</v>
      </c>
      <c r="C37" s="720"/>
      <c r="D37" s="854">
        <f t="shared" si="0"/>
        <v>0</v>
      </c>
    </row>
    <row r="38" spans="1:4" ht="12.75">
      <c r="A38" s="328"/>
      <c r="B38" s="328" t="s">
        <v>1456</v>
      </c>
      <c r="C38" s="633"/>
      <c r="D38" s="620">
        <f t="shared" si="0"/>
        <v>0</v>
      </c>
    </row>
    <row r="39" spans="1:4" ht="13.5" thickBot="1">
      <c r="A39" s="645"/>
      <c r="B39" s="645" t="s">
        <v>728</v>
      </c>
      <c r="C39" s="966">
        <v>1080000</v>
      </c>
      <c r="D39" s="958">
        <v>1080</v>
      </c>
    </row>
    <row r="40" spans="1:4" ht="13.5" thickBot="1">
      <c r="A40" s="637">
        <v>516</v>
      </c>
      <c r="B40" s="962" t="s">
        <v>1466</v>
      </c>
      <c r="C40" s="964">
        <f>SUM(C37:C39)</f>
        <v>1080000</v>
      </c>
      <c r="D40" s="961">
        <f t="shared" si="0"/>
        <v>1080</v>
      </c>
    </row>
    <row r="41" spans="1:4" ht="12.75">
      <c r="A41" s="328">
        <v>52213</v>
      </c>
      <c r="B41" s="328" t="s">
        <v>968</v>
      </c>
      <c r="C41" s="720"/>
      <c r="D41" s="854">
        <f t="shared" si="0"/>
        <v>0</v>
      </c>
    </row>
    <row r="42" spans="1:4" ht="12.75">
      <c r="A42" s="647">
        <v>5221</v>
      </c>
      <c r="B42" s="616" t="s">
        <v>120</v>
      </c>
      <c r="C42" s="618"/>
      <c r="D42" s="620">
        <f t="shared" si="0"/>
        <v>0</v>
      </c>
    </row>
    <row r="43" spans="1:4" ht="12.75">
      <c r="A43" s="380">
        <v>522113</v>
      </c>
      <c r="B43" s="328" t="s">
        <v>1493</v>
      </c>
      <c r="C43" s="618">
        <f>'Polg. Hiv'!D41</f>
        <v>150000</v>
      </c>
      <c r="D43" s="620">
        <f t="shared" si="0"/>
        <v>150</v>
      </c>
    </row>
    <row r="44" spans="1:4" ht="12.75">
      <c r="A44" s="380">
        <v>522114</v>
      </c>
      <c r="B44" s="328" t="s">
        <v>116</v>
      </c>
      <c r="C44" s="618"/>
      <c r="D44" s="620">
        <f t="shared" si="0"/>
        <v>0</v>
      </c>
    </row>
    <row r="45" spans="1:4" ht="12.75">
      <c r="A45" s="380"/>
      <c r="B45" s="328"/>
      <c r="C45" s="618"/>
      <c r="D45" s="620">
        <f t="shared" si="0"/>
        <v>0</v>
      </c>
    </row>
    <row r="46" spans="1:4" ht="12.75">
      <c r="A46" s="328">
        <v>52218</v>
      </c>
      <c r="B46" s="328" t="s">
        <v>793</v>
      </c>
      <c r="C46" s="326">
        <f>Bérek2013!Y45+Bérek2013!Z45</f>
        <v>1613280</v>
      </c>
      <c r="D46" s="620">
        <f t="shared" si="0"/>
        <v>1613</v>
      </c>
    </row>
    <row r="47" spans="1:4" ht="12.75">
      <c r="A47" s="328"/>
      <c r="B47" s="328" t="s">
        <v>133</v>
      </c>
      <c r="C47" s="618"/>
      <c r="D47" s="620">
        <f t="shared" si="0"/>
        <v>0</v>
      </c>
    </row>
    <row r="48" spans="1:4" ht="13.5" thickBot="1">
      <c r="A48" s="328">
        <v>52219</v>
      </c>
      <c r="B48" s="328" t="s">
        <v>117</v>
      </c>
      <c r="C48" s="618">
        <f>Bérek2013!Y46</f>
        <v>0</v>
      </c>
      <c r="D48" s="620">
        <f t="shared" si="0"/>
        <v>0</v>
      </c>
    </row>
    <row r="49" spans="1:4" ht="13.5" thickBot="1">
      <c r="A49" s="637">
        <v>52</v>
      </c>
      <c r="B49" s="644" t="s">
        <v>1467</v>
      </c>
      <c r="C49" s="954">
        <f>SUM(C41:C48)</f>
        <v>1763280</v>
      </c>
      <c r="D49" s="177">
        <f t="shared" si="0"/>
        <v>1763</v>
      </c>
    </row>
    <row r="50" spans="1:7" ht="16.5" thickBot="1">
      <c r="A50" s="955" t="s">
        <v>1484</v>
      </c>
      <c r="B50" s="956"/>
      <c r="C50" s="434">
        <f>C17+C19+C27+C32+C36+C40+C49</f>
        <v>87587555</v>
      </c>
      <c r="D50" s="434">
        <f>D17+D19+D27+D32+D36+D40+D49</f>
        <v>87587</v>
      </c>
      <c r="E50" s="11">
        <f>SUM(E9:E49)</f>
        <v>4193</v>
      </c>
      <c r="F50" s="11">
        <f>SUM(F9:F49)</f>
        <v>5685</v>
      </c>
      <c r="G50" s="11">
        <f>D50+E50+F50</f>
        <v>97465</v>
      </c>
    </row>
    <row r="51" spans="1:4" ht="15">
      <c r="A51" s="307"/>
      <c r="B51" s="307"/>
      <c r="C51" s="214"/>
      <c r="D51" s="214"/>
    </row>
    <row r="52" spans="1:4" ht="13.5" thickBot="1">
      <c r="A52" s="53">
        <v>53112</v>
      </c>
      <c r="B52" s="53" t="s">
        <v>1198</v>
      </c>
      <c r="C52" s="633"/>
      <c r="D52" s="182">
        <f>(D17+D19+D49+D40+D21)*0.27</f>
        <v>22156.74</v>
      </c>
    </row>
    <row r="53" spans="1:7" ht="16.5" thickBot="1">
      <c r="A53" s="1363" t="s">
        <v>981</v>
      </c>
      <c r="B53" s="1364"/>
      <c r="C53" s="1364"/>
      <c r="D53" s="433">
        <f>+D52</f>
        <v>22156.74</v>
      </c>
      <c r="E53" s="11">
        <f>'841125-115-Elsőfokú ép. hatóság'!E31</f>
        <v>1058.94</v>
      </c>
      <c r="F53" s="11">
        <f>'841133-adó beszedése'!E26</f>
        <v>1413.45</v>
      </c>
      <c r="G53" s="11">
        <f>D53+E53+F53</f>
        <v>24629.13</v>
      </c>
    </row>
    <row r="54" spans="1:4" ht="15">
      <c r="A54" s="431"/>
      <c r="B54" s="431"/>
      <c r="C54" s="430"/>
      <c r="D54" s="430"/>
    </row>
    <row r="55" spans="1:4" ht="12.75">
      <c r="A55" s="328"/>
      <c r="B55" s="328"/>
      <c r="C55" s="633"/>
      <c r="D55" s="633"/>
    </row>
    <row r="56" spans="1:4" ht="12.75">
      <c r="A56" s="53">
        <v>5421</v>
      </c>
      <c r="B56" s="628" t="s">
        <v>200</v>
      </c>
      <c r="C56" s="633">
        <f>C57</f>
        <v>0</v>
      </c>
      <c r="D56" s="182"/>
    </row>
    <row r="57" spans="1:4" ht="12.75">
      <c r="A57" s="53"/>
      <c r="B57" s="616" t="s">
        <v>81</v>
      </c>
      <c r="C57" s="633"/>
      <c r="D57" s="633"/>
    </row>
    <row r="58" spans="1:4" ht="12.75">
      <c r="A58" s="53">
        <v>5431</v>
      </c>
      <c r="B58" s="628" t="s">
        <v>982</v>
      </c>
      <c r="C58" s="182">
        <f>SUM(C59:C60)</f>
        <v>2047225</v>
      </c>
      <c r="D58" s="182">
        <f>SUM(D59:D60)</f>
        <v>2047</v>
      </c>
    </row>
    <row r="59" spans="1:4" ht="12.75">
      <c r="A59" s="53"/>
      <c r="B59" s="928" t="s">
        <v>940</v>
      </c>
      <c r="C59" s="1059">
        <v>2000000</v>
      </c>
      <c r="D59" s="633">
        <f>ROUND(C59,-3)/1000</f>
        <v>2000</v>
      </c>
    </row>
    <row r="60" spans="1:4" ht="12.75">
      <c r="A60" s="53"/>
      <c r="B60" s="928" t="s">
        <v>945</v>
      </c>
      <c r="C60" s="801">
        <v>47225</v>
      </c>
      <c r="D60" s="633">
        <f aca="true" t="shared" si="1" ref="D60:D109">ROUND(C60,-3)/1000</f>
        <v>47</v>
      </c>
    </row>
    <row r="61" spans="1:4" ht="12.75">
      <c r="A61" s="53">
        <v>5441</v>
      </c>
      <c r="B61" s="53" t="s">
        <v>201</v>
      </c>
      <c r="C61" s="182">
        <f>SUM(C62:C65)</f>
        <v>464612</v>
      </c>
      <c r="D61" s="182">
        <f>SUM(D62:D65)</f>
        <v>464</v>
      </c>
    </row>
    <row r="62" spans="1:4" ht="12.75">
      <c r="A62" s="53"/>
      <c r="B62" s="928" t="s">
        <v>935</v>
      </c>
      <c r="C62" s="801">
        <v>121981</v>
      </c>
      <c r="D62" s="633">
        <f t="shared" si="1"/>
        <v>122</v>
      </c>
    </row>
    <row r="63" spans="1:4" ht="12.75">
      <c r="A63" s="53"/>
      <c r="B63" s="928" t="s">
        <v>936</v>
      </c>
      <c r="C63" s="801">
        <v>52471</v>
      </c>
      <c r="D63" s="633">
        <f t="shared" si="1"/>
        <v>52</v>
      </c>
    </row>
    <row r="64" spans="1:4" ht="12.75">
      <c r="A64" s="53"/>
      <c r="B64" s="928" t="s">
        <v>937</v>
      </c>
      <c r="C64" s="801">
        <v>31080</v>
      </c>
      <c r="D64" s="633">
        <f t="shared" si="1"/>
        <v>31</v>
      </c>
    </row>
    <row r="65" spans="1:4" ht="12.75">
      <c r="A65" s="53"/>
      <c r="B65" s="928" t="s">
        <v>939</v>
      </c>
      <c r="C65" s="801">
        <v>259080</v>
      </c>
      <c r="D65" s="633">
        <f t="shared" si="1"/>
        <v>259</v>
      </c>
    </row>
    <row r="66" spans="1:4" ht="12.75">
      <c r="A66" s="53">
        <v>5471</v>
      </c>
      <c r="B66" s="53" t="s">
        <v>984</v>
      </c>
      <c r="C66" s="182">
        <f>SUM(C67)</f>
        <v>140000</v>
      </c>
      <c r="D66" s="182">
        <f t="shared" si="1"/>
        <v>140</v>
      </c>
    </row>
    <row r="67" spans="1:4" ht="12.75">
      <c r="A67" s="53"/>
      <c r="B67" s="53"/>
      <c r="C67" s="633">
        <v>140000</v>
      </c>
      <c r="D67" s="633">
        <f t="shared" si="1"/>
        <v>140</v>
      </c>
    </row>
    <row r="68" spans="1:4" ht="12.75">
      <c r="A68" s="53">
        <v>5491</v>
      </c>
      <c r="B68" s="628" t="s">
        <v>985</v>
      </c>
      <c r="C68" s="182">
        <f>SUM(C69:C70)</f>
        <v>425000</v>
      </c>
      <c r="D68" s="182">
        <f t="shared" si="1"/>
        <v>425</v>
      </c>
    </row>
    <row r="69" spans="1:4" ht="12.75">
      <c r="A69" s="53"/>
      <c r="B69" s="616" t="s">
        <v>87</v>
      </c>
      <c r="C69" s="801">
        <v>65000</v>
      </c>
      <c r="D69" s="633">
        <f t="shared" si="1"/>
        <v>65</v>
      </c>
    </row>
    <row r="70" spans="1:4" ht="12.75">
      <c r="A70" s="328"/>
      <c r="B70" s="616" t="s">
        <v>104</v>
      </c>
      <c r="C70" s="633">
        <v>360000</v>
      </c>
      <c r="D70" s="633">
        <f t="shared" si="1"/>
        <v>360</v>
      </c>
    </row>
    <row r="71" spans="1:4" ht="12.75">
      <c r="A71" s="53">
        <v>55111</v>
      </c>
      <c r="B71" s="628" t="s">
        <v>987</v>
      </c>
      <c r="C71" s="182">
        <f>SUM(C72)</f>
        <v>0</v>
      </c>
      <c r="D71" s="633">
        <f t="shared" si="1"/>
        <v>0</v>
      </c>
    </row>
    <row r="72" spans="1:4" ht="12.75">
      <c r="A72" s="53"/>
      <c r="B72" s="616" t="s">
        <v>849</v>
      </c>
      <c r="C72" s="633"/>
      <c r="D72" s="633">
        <f t="shared" si="1"/>
        <v>0</v>
      </c>
    </row>
    <row r="73" spans="1:4" ht="12.75">
      <c r="A73" s="53">
        <v>55119</v>
      </c>
      <c r="B73" s="628" t="s">
        <v>988</v>
      </c>
      <c r="C73" s="182">
        <f>SUM(C74)</f>
        <v>3360420</v>
      </c>
      <c r="D73" s="633">
        <f t="shared" si="1"/>
        <v>3360</v>
      </c>
    </row>
    <row r="74" spans="1:4" ht="12.75">
      <c r="A74" s="328"/>
      <c r="B74" s="928" t="s">
        <v>946</v>
      </c>
      <c r="C74" s="801">
        <v>3360420</v>
      </c>
      <c r="D74" s="633">
        <f t="shared" si="1"/>
        <v>3360</v>
      </c>
    </row>
    <row r="75" spans="1:4" ht="12.75">
      <c r="A75" s="53">
        <v>552121</v>
      </c>
      <c r="B75" s="628" t="s">
        <v>1453</v>
      </c>
      <c r="C75" s="182">
        <f>SUM(C76:C77)</f>
        <v>2700000</v>
      </c>
      <c r="D75" s="633">
        <f t="shared" si="1"/>
        <v>2700</v>
      </c>
    </row>
    <row r="76" spans="1:4" ht="12.75">
      <c r="A76" s="53"/>
      <c r="B76" s="616" t="s">
        <v>83</v>
      </c>
      <c r="C76" s="633">
        <v>2700000</v>
      </c>
      <c r="D76" s="633">
        <f t="shared" si="1"/>
        <v>2700</v>
      </c>
    </row>
    <row r="77" spans="1:4" ht="12.75">
      <c r="A77" s="328"/>
      <c r="B77" s="616" t="s">
        <v>82</v>
      </c>
      <c r="C77" s="633"/>
      <c r="D77" s="633">
        <f t="shared" si="1"/>
        <v>0</v>
      </c>
    </row>
    <row r="78" spans="1:4" ht="12.75">
      <c r="A78" s="53">
        <v>55214</v>
      </c>
      <c r="B78" s="628" t="s">
        <v>989</v>
      </c>
      <c r="C78" s="802">
        <v>3660000</v>
      </c>
      <c r="D78" s="633">
        <f t="shared" si="1"/>
        <v>3660</v>
      </c>
    </row>
    <row r="79" spans="1:4" ht="12.75">
      <c r="A79" s="328"/>
      <c r="B79" s="616"/>
      <c r="C79" s="633"/>
      <c r="D79" s="633">
        <f t="shared" si="1"/>
        <v>0</v>
      </c>
    </row>
    <row r="80" spans="1:4" ht="12.75">
      <c r="A80" s="53">
        <v>55215</v>
      </c>
      <c r="B80" s="628" t="s">
        <v>990</v>
      </c>
      <c r="C80" s="802">
        <v>3520000</v>
      </c>
      <c r="D80" s="633">
        <f t="shared" si="1"/>
        <v>3520</v>
      </c>
    </row>
    <row r="81" spans="1:4" ht="12.75">
      <c r="A81" s="328"/>
      <c r="B81" s="616"/>
      <c r="C81" s="633"/>
      <c r="D81" s="633">
        <f>ROUND(C81,-3)/1000</f>
        <v>0</v>
      </c>
    </row>
    <row r="82" spans="1:4" ht="12.75">
      <c r="A82" s="53">
        <v>55217</v>
      </c>
      <c r="B82" s="628" t="s">
        <v>991</v>
      </c>
      <c r="C82" s="802">
        <v>990000</v>
      </c>
      <c r="D82" s="633">
        <f t="shared" si="1"/>
        <v>990</v>
      </c>
    </row>
    <row r="83" spans="1:4" ht="12.75">
      <c r="A83" s="328"/>
      <c r="B83" s="616"/>
      <c r="C83" s="633"/>
      <c r="D83" s="633">
        <f t="shared" si="1"/>
        <v>0</v>
      </c>
    </row>
    <row r="84" spans="1:4" ht="12.75">
      <c r="A84" s="53">
        <v>55218</v>
      </c>
      <c r="B84" s="628" t="s">
        <v>992</v>
      </c>
      <c r="C84" s="182">
        <f>SUM(C85:C86)</f>
        <v>500000</v>
      </c>
      <c r="D84" s="633">
        <f t="shared" si="1"/>
        <v>500</v>
      </c>
    </row>
    <row r="85" spans="1:4" ht="12.75">
      <c r="A85" s="53"/>
      <c r="B85" s="928" t="s">
        <v>84</v>
      </c>
      <c r="C85" s="801">
        <v>0</v>
      </c>
      <c r="D85" s="633">
        <f t="shared" si="1"/>
        <v>0</v>
      </c>
    </row>
    <row r="86" spans="1:4" ht="12.75">
      <c r="A86" s="53"/>
      <c r="B86" s="928" t="s">
        <v>944</v>
      </c>
      <c r="C86" s="801">
        <v>500000</v>
      </c>
      <c r="D86" s="633">
        <f t="shared" si="1"/>
        <v>500</v>
      </c>
    </row>
    <row r="87" spans="1:4" ht="12.75">
      <c r="A87" s="53">
        <v>55219</v>
      </c>
      <c r="B87" s="628" t="s">
        <v>1020</v>
      </c>
      <c r="C87" s="182">
        <f>SUM(C88:C90)</f>
        <v>3280000</v>
      </c>
      <c r="D87" s="633">
        <f t="shared" si="1"/>
        <v>3280</v>
      </c>
    </row>
    <row r="88" spans="1:4" ht="12.75">
      <c r="A88" s="328"/>
      <c r="B88" s="928" t="s">
        <v>998</v>
      </c>
      <c r="C88" s="801">
        <v>280000</v>
      </c>
      <c r="D88" s="633">
        <f t="shared" si="1"/>
        <v>280</v>
      </c>
    </row>
    <row r="89" spans="1:4" ht="12.75">
      <c r="A89" s="328"/>
      <c r="B89" s="928" t="s">
        <v>941</v>
      </c>
      <c r="C89" s="801"/>
      <c r="D89" s="633">
        <f t="shared" si="1"/>
        <v>0</v>
      </c>
    </row>
    <row r="90" spans="1:4" ht="12.75">
      <c r="A90" s="328"/>
      <c r="B90" s="928" t="s">
        <v>938</v>
      </c>
      <c r="C90" s="801">
        <v>3000000</v>
      </c>
      <c r="D90" s="633">
        <f t="shared" si="1"/>
        <v>3000</v>
      </c>
    </row>
    <row r="91" spans="1:4" ht="12.75">
      <c r="A91" s="53">
        <v>5561</v>
      </c>
      <c r="B91" s="628" t="s">
        <v>86</v>
      </c>
      <c r="C91" s="182">
        <v>0</v>
      </c>
      <c r="D91" s="633">
        <f t="shared" si="1"/>
        <v>0</v>
      </c>
    </row>
    <row r="92" spans="1:4" ht="12.75">
      <c r="A92" s="328"/>
      <c r="B92" s="616"/>
      <c r="C92" s="633"/>
      <c r="D92" s="633">
        <f t="shared" si="1"/>
        <v>0</v>
      </c>
    </row>
    <row r="93" spans="1:4" ht="12.75">
      <c r="A93" s="379">
        <v>56111</v>
      </c>
      <c r="B93" s="53" t="s">
        <v>994</v>
      </c>
      <c r="C93" s="182">
        <v>1554</v>
      </c>
      <c r="D93" s="633">
        <f t="shared" si="1"/>
        <v>2</v>
      </c>
    </row>
    <row r="94" spans="1:4" ht="12.75">
      <c r="A94" s="379"/>
      <c r="B94" s="53" t="s">
        <v>994</v>
      </c>
      <c r="C94" s="182">
        <v>5647000</v>
      </c>
      <c r="D94" s="633">
        <f>'Polg. Hiv'!E92</f>
        <v>5647.05</v>
      </c>
    </row>
    <row r="95" spans="1:4" ht="12.75">
      <c r="A95" s="53">
        <v>56211</v>
      </c>
      <c r="B95" s="53" t="s">
        <v>995</v>
      </c>
      <c r="C95" s="182">
        <v>250000</v>
      </c>
      <c r="D95" s="633">
        <f t="shared" si="1"/>
        <v>250</v>
      </c>
    </row>
    <row r="96" spans="1:4" ht="12.75">
      <c r="A96" s="53"/>
      <c r="B96" s="328" t="s">
        <v>943</v>
      </c>
      <c r="C96" s="633"/>
      <c r="D96" s="633">
        <f t="shared" si="1"/>
        <v>0</v>
      </c>
    </row>
    <row r="97" spans="1:4" ht="12.75">
      <c r="A97" s="53">
        <v>56319</v>
      </c>
      <c r="B97" s="628" t="s">
        <v>203</v>
      </c>
      <c r="C97" s="182">
        <v>65000</v>
      </c>
      <c r="D97" s="633">
        <f>ROUND(C97,-3)/1000</f>
        <v>65</v>
      </c>
    </row>
    <row r="98" spans="1:4" ht="12.75">
      <c r="A98" s="53"/>
      <c r="B98" s="616" t="s">
        <v>118</v>
      </c>
      <c r="C98" s="633"/>
      <c r="D98" s="633">
        <f t="shared" si="1"/>
        <v>0</v>
      </c>
    </row>
    <row r="99" spans="1:4" ht="12.75">
      <c r="A99" s="53"/>
      <c r="B99" s="616" t="s">
        <v>1015</v>
      </c>
      <c r="C99" s="633">
        <v>65000</v>
      </c>
      <c r="D99" s="633">
        <f t="shared" si="1"/>
        <v>65</v>
      </c>
    </row>
    <row r="100" spans="1:4" ht="12.75">
      <c r="A100" s="53">
        <v>5642</v>
      </c>
      <c r="B100" s="628" t="s">
        <v>439</v>
      </c>
      <c r="C100" s="182">
        <f>SUM(C101)</f>
        <v>0</v>
      </c>
      <c r="D100" s="633">
        <f t="shared" si="1"/>
        <v>0</v>
      </c>
    </row>
    <row r="101" spans="1:4" ht="12.75">
      <c r="A101" s="53"/>
      <c r="B101" s="616" t="s">
        <v>856</v>
      </c>
      <c r="C101" s="633"/>
      <c r="D101" s="633">
        <f t="shared" si="1"/>
        <v>0</v>
      </c>
    </row>
    <row r="102" spans="1:6" ht="12.75">
      <c r="A102" s="53">
        <v>57211</v>
      </c>
      <c r="B102" s="628" t="s">
        <v>1193</v>
      </c>
      <c r="C102" s="802">
        <f>C103</f>
        <v>1713600</v>
      </c>
      <c r="D102" s="633">
        <f t="shared" si="1"/>
        <v>1714</v>
      </c>
      <c r="E102" s="8">
        <f>'841125-115-Elsőfokú ép. hatóság'!E36</f>
        <v>46.410000000000004</v>
      </c>
      <c r="F102" s="8">
        <f>'841133-adó beszedése'!E30</f>
        <v>160.65</v>
      </c>
    </row>
    <row r="103" spans="1:4" ht="12.75">
      <c r="A103" s="53"/>
      <c r="B103" s="628" t="s">
        <v>914</v>
      </c>
      <c r="C103" s="633">
        <f>(C30+'Polg. Hiv'!Z33)*0.357</f>
        <v>1713600</v>
      </c>
      <c r="D103" s="633">
        <f t="shared" si="1"/>
        <v>1714</v>
      </c>
    </row>
    <row r="104" spans="1:6" ht="12.75">
      <c r="A104" s="53">
        <v>57213</v>
      </c>
      <c r="B104" s="53" t="s">
        <v>796</v>
      </c>
      <c r="C104" s="182">
        <v>1591000</v>
      </c>
      <c r="D104" s="633">
        <f t="shared" si="1"/>
        <v>1591</v>
      </c>
      <c r="E104" s="8">
        <f>'841125-115-Elsőfokú ép. hatóság'!E37</f>
        <v>96</v>
      </c>
      <c r="F104" s="8">
        <f>'841133-adó beszedése'!E31</f>
        <v>145</v>
      </c>
    </row>
    <row r="105" spans="1:4" ht="12.75">
      <c r="A105" s="53">
        <v>57219</v>
      </c>
      <c r="B105" s="53" t="s">
        <v>89</v>
      </c>
      <c r="C105" s="182">
        <f>SUM(C106:C108)</f>
        <v>361732</v>
      </c>
      <c r="D105" s="633">
        <f t="shared" si="1"/>
        <v>362</v>
      </c>
    </row>
    <row r="106" spans="1:4" ht="12.75">
      <c r="A106" s="53"/>
      <c r="B106" s="929" t="s">
        <v>942</v>
      </c>
      <c r="C106" s="801">
        <v>125584</v>
      </c>
      <c r="D106" s="633">
        <f t="shared" si="1"/>
        <v>126</v>
      </c>
    </row>
    <row r="107" spans="1:4" ht="12.75">
      <c r="A107" s="53"/>
      <c r="B107" s="929" t="s">
        <v>851</v>
      </c>
      <c r="C107" s="801">
        <v>34788</v>
      </c>
      <c r="D107" s="633">
        <f t="shared" si="1"/>
        <v>35</v>
      </c>
    </row>
    <row r="108" spans="1:4" ht="12.75">
      <c r="A108" s="53"/>
      <c r="B108" s="929" t="s">
        <v>1169</v>
      </c>
      <c r="C108" s="801">
        <v>201360</v>
      </c>
      <c r="D108" s="633">
        <f t="shared" si="1"/>
        <v>201</v>
      </c>
    </row>
    <row r="109" spans="1:4" ht="12.75">
      <c r="A109" s="53"/>
      <c r="B109" s="53"/>
      <c r="C109" s="633"/>
      <c r="D109" s="633">
        <f t="shared" si="1"/>
        <v>0</v>
      </c>
    </row>
    <row r="110" spans="1:6" ht="15.75">
      <c r="A110" s="930" t="s">
        <v>162</v>
      </c>
      <c r="B110" s="931"/>
      <c r="C110" s="932">
        <f>C56+C58+C61+C66+C68+C71+C73+C75+C78+C80+C82+C84+C87+C91+C93+C95+C97+C100+C102+C104+C105+C94</f>
        <v>30717143</v>
      </c>
      <c r="D110" s="932">
        <f>D56+D58+D61+D66+D68+D71+D73+D75+D78+D80+D82+D84+D87+D91+D93+D95+D97+D100+D102+D104+D105+D94</f>
        <v>30717.05</v>
      </c>
      <c r="E110" s="11">
        <f>SUM(E56:E109)</f>
        <v>142.41</v>
      </c>
      <c r="F110" s="11">
        <f>SUM(F56:F109)</f>
        <v>305.65</v>
      </c>
    </row>
    <row r="111" spans="1:4" ht="15.75">
      <c r="A111" s="930"/>
      <c r="B111" s="931"/>
      <c r="C111" s="967"/>
      <c r="D111" s="633"/>
    </row>
    <row r="114" spans="1:4" ht="12.75">
      <c r="A114" s="380">
        <v>4641621</v>
      </c>
      <c r="B114" s="616" t="s">
        <v>1005</v>
      </c>
      <c r="C114" s="617"/>
      <c r="D114">
        <v>6668</v>
      </c>
    </row>
    <row r="115" spans="2:4" ht="12.75">
      <c r="B115" t="s">
        <v>874</v>
      </c>
      <c r="C115">
        <v>26068453</v>
      </c>
      <c r="D115">
        <v>26068</v>
      </c>
    </row>
  </sheetData>
  <sheetProtection/>
  <mergeCells count="2">
    <mergeCell ref="A5:D5"/>
    <mergeCell ref="A53:C5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3" max="6" man="1"/>
  </rowBreaks>
  <colBreaks count="1" manualBreakCount="1">
    <brk id="7" max="11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B50"/>
  <sheetViews>
    <sheetView view="pageBreakPreview" zoomScaleSheetLayoutView="100" zoomScalePageLayoutView="0" workbookViewId="0" topLeftCell="A22">
      <pane xSplit="2" topLeftCell="C1" activePane="topRight" state="frozen"/>
      <selection pane="topLeft" activeCell="A1" sqref="A1"/>
      <selection pane="topRight" activeCell="Q38" sqref="Q38"/>
    </sheetView>
  </sheetViews>
  <sheetFormatPr defaultColWidth="9.140625" defaultRowHeight="12.75"/>
  <cols>
    <col min="1" max="1" width="3.28125" style="264" customWidth="1"/>
    <col min="2" max="2" width="38.140625" style="520" bestFit="1" customWidth="1"/>
    <col min="3" max="3" width="15.28125" style="414" customWidth="1"/>
    <col min="4" max="4" width="15.7109375" style="536" customWidth="1"/>
    <col min="5" max="5" width="9.28125" style="521" bestFit="1" customWidth="1"/>
    <col min="6" max="6" width="9.140625" style="414" bestFit="1" customWidth="1"/>
    <col min="7" max="7" width="9.28125" style="414" bestFit="1" customWidth="1"/>
    <col min="8" max="8" width="10.421875" style="414" bestFit="1" customWidth="1"/>
    <col min="9" max="9" width="9.140625" style="414" bestFit="1" customWidth="1"/>
    <col min="10" max="10" width="9.28125" style="414" bestFit="1" customWidth="1"/>
    <col min="11" max="12" width="9.140625" style="414" bestFit="1" customWidth="1"/>
    <col min="13" max="13" width="9.28125" style="414" bestFit="1" customWidth="1"/>
    <col min="14" max="14" width="10.8515625" style="414" bestFit="1" customWidth="1"/>
    <col min="15" max="16" width="9.140625" style="414" bestFit="1" customWidth="1"/>
    <col min="17" max="17" width="13.7109375" style="521" bestFit="1" customWidth="1"/>
    <col min="18" max="18" width="10.421875" style="414" customWidth="1"/>
    <col min="19" max="19" width="11.421875" style="538" bestFit="1" customWidth="1"/>
    <col min="20" max="20" width="10.28125" style="414" customWidth="1"/>
    <col min="21" max="21" width="19.7109375" style="414" bestFit="1" customWidth="1"/>
    <col min="22" max="22" width="6.57421875" style="414" bestFit="1" customWidth="1"/>
    <col min="23" max="23" width="9.8515625" style="414" customWidth="1"/>
    <col min="24" max="24" width="14.140625" style="414" customWidth="1"/>
    <col min="25" max="25" width="15.00390625" style="414" customWidth="1"/>
    <col min="26" max="26" width="10.8515625" style="264" customWidth="1"/>
    <col min="27" max="27" width="40.140625" style="264" bestFit="1" customWidth="1"/>
    <col min="28" max="16384" width="9.140625" style="264" customWidth="1"/>
  </cols>
  <sheetData>
    <row r="1" spans="1:27" ht="15">
      <c r="A1" s="774" t="s">
        <v>816</v>
      </c>
      <c r="B1" s="537" t="s">
        <v>79</v>
      </c>
      <c r="C1" s="590"/>
      <c r="D1" s="591" t="s">
        <v>34</v>
      </c>
      <c r="E1" s="523" t="s">
        <v>948</v>
      </c>
      <c r="F1" s="592" t="s">
        <v>949</v>
      </c>
      <c r="G1" s="592" t="s">
        <v>950</v>
      </c>
      <c r="H1" s="592" t="s">
        <v>951</v>
      </c>
      <c r="I1" s="592" t="s">
        <v>952</v>
      </c>
      <c r="J1" s="592" t="s">
        <v>953</v>
      </c>
      <c r="K1" s="592" t="s">
        <v>954</v>
      </c>
      <c r="L1" s="592" t="s">
        <v>955</v>
      </c>
      <c r="M1" s="592" t="s">
        <v>1077</v>
      </c>
      <c r="N1" s="592" t="s">
        <v>1078</v>
      </c>
      <c r="O1" s="592" t="s">
        <v>1079</v>
      </c>
      <c r="P1" s="592" t="s">
        <v>1080</v>
      </c>
      <c r="Q1" s="523" t="s">
        <v>121</v>
      </c>
      <c r="R1" s="592" t="s">
        <v>152</v>
      </c>
      <c r="S1" s="592" t="s">
        <v>1001</v>
      </c>
      <c r="T1" s="592" t="s">
        <v>125</v>
      </c>
      <c r="U1" s="592" t="s">
        <v>153</v>
      </c>
      <c r="V1" s="592" t="s">
        <v>102</v>
      </c>
      <c r="W1" s="592" t="s">
        <v>455</v>
      </c>
      <c r="X1" s="592" t="s">
        <v>122</v>
      </c>
      <c r="Y1" s="656"/>
      <c r="Z1" s="545" t="s">
        <v>256</v>
      </c>
      <c r="AA1" s="545" t="s">
        <v>101</v>
      </c>
    </row>
    <row r="2" spans="1:27" ht="15">
      <c r="A2" s="774" t="s">
        <v>779</v>
      </c>
      <c r="B2" s="266" t="s">
        <v>1472</v>
      </c>
      <c r="C2" s="933" t="s">
        <v>74</v>
      </c>
      <c r="D2" s="776">
        <v>1421600</v>
      </c>
      <c r="E2" s="522">
        <v>162300</v>
      </c>
      <c r="F2" s="522">
        <v>162300</v>
      </c>
      <c r="G2" s="522">
        <v>162300</v>
      </c>
      <c r="H2" s="522">
        <v>162300</v>
      </c>
      <c r="I2" s="522">
        <v>162300</v>
      </c>
      <c r="J2" s="522">
        <v>162300</v>
      </c>
      <c r="K2" s="522">
        <v>162300</v>
      </c>
      <c r="L2" s="522">
        <v>162300</v>
      </c>
      <c r="M2" s="522">
        <v>162300</v>
      </c>
      <c r="N2" s="522">
        <v>162300</v>
      </c>
      <c r="O2" s="522">
        <v>162300</v>
      </c>
      <c r="P2" s="522">
        <v>162300</v>
      </c>
      <c r="Q2" s="524">
        <f aca="true" t="shared" si="0" ref="Q2:Q7">SUBTOTAL(9,E2:P2)</f>
        <v>1947600</v>
      </c>
      <c r="R2" s="592"/>
      <c r="S2" s="592"/>
      <c r="T2" s="592"/>
      <c r="U2" s="592"/>
      <c r="V2" s="592"/>
      <c r="W2" s="592"/>
      <c r="X2" s="1039"/>
      <c r="Y2" s="949">
        <f>Q2+R2+S2+U2+V2+W2+X2</f>
        <v>1947600</v>
      </c>
      <c r="Z2" s="545">
        <v>150000</v>
      </c>
      <c r="AA2" s="545"/>
    </row>
    <row r="3" spans="1:27" ht="15">
      <c r="A3" s="774" t="s">
        <v>780</v>
      </c>
      <c r="B3" s="519" t="s">
        <v>956</v>
      </c>
      <c r="C3" s="933" t="s">
        <v>74</v>
      </c>
      <c r="D3" s="946" t="s">
        <v>958</v>
      </c>
      <c r="E3" s="947">
        <v>139900</v>
      </c>
      <c r="F3" s="947">
        <v>139900</v>
      </c>
      <c r="G3" s="947">
        <v>139900</v>
      </c>
      <c r="H3" s="947">
        <v>139900</v>
      </c>
      <c r="I3" s="947">
        <v>139900</v>
      </c>
      <c r="J3" s="947">
        <v>139900</v>
      </c>
      <c r="K3" s="947">
        <v>139900</v>
      </c>
      <c r="L3" s="947">
        <v>139900</v>
      </c>
      <c r="M3" s="947">
        <v>139900</v>
      </c>
      <c r="N3" s="947">
        <v>139900</v>
      </c>
      <c r="O3" s="947">
        <v>139900</v>
      </c>
      <c r="P3" s="947">
        <v>139900</v>
      </c>
      <c r="Q3" s="524">
        <f t="shared" si="0"/>
        <v>1678800</v>
      </c>
      <c r="R3" s="592">
        <v>241200</v>
      </c>
      <c r="S3" s="592"/>
      <c r="T3" s="592"/>
      <c r="U3" s="592"/>
      <c r="V3" s="592"/>
      <c r="W3" s="592"/>
      <c r="X3" s="1039"/>
      <c r="Y3" s="949">
        <f>Q3+R3+S3+U3+V3+W3+X3</f>
        <v>1920000</v>
      </c>
      <c r="Z3" s="545">
        <v>150000</v>
      </c>
      <c r="AA3" s="545" t="s">
        <v>166</v>
      </c>
    </row>
    <row r="4" spans="1:27" ht="15">
      <c r="A4" s="774" t="s">
        <v>781</v>
      </c>
      <c r="B4" s="792" t="s">
        <v>957</v>
      </c>
      <c r="C4" s="933" t="s">
        <v>74</v>
      </c>
      <c r="D4" s="946" t="s">
        <v>958</v>
      </c>
      <c r="E4" s="947">
        <v>114000</v>
      </c>
      <c r="F4" s="947">
        <v>114000</v>
      </c>
      <c r="G4" s="947">
        <v>114000</v>
      </c>
      <c r="H4" s="947">
        <v>114000</v>
      </c>
      <c r="I4" s="947">
        <v>114000</v>
      </c>
      <c r="J4" s="947">
        <v>114000</v>
      </c>
      <c r="K4" s="947">
        <v>114000</v>
      </c>
      <c r="L4" s="947">
        <v>114000</v>
      </c>
      <c r="M4" s="947">
        <v>114000</v>
      </c>
      <c r="N4" s="947">
        <v>114000</v>
      </c>
      <c r="O4" s="947">
        <v>114000</v>
      </c>
      <c r="P4" s="947">
        <v>114000</v>
      </c>
      <c r="Q4" s="524">
        <f t="shared" si="0"/>
        <v>1368000</v>
      </c>
      <c r="R4" s="592"/>
      <c r="S4" s="592"/>
      <c r="T4" s="592"/>
      <c r="U4" s="592"/>
      <c r="V4" s="592"/>
      <c r="W4" s="592"/>
      <c r="X4" s="1039"/>
      <c r="Y4" s="949">
        <f>Q4+R4+S4+U4+V4+W4+X4</f>
        <v>1368000</v>
      </c>
      <c r="Z4" s="545">
        <v>150000</v>
      </c>
      <c r="AA4" s="545"/>
    </row>
    <row r="5" spans="1:27" ht="15">
      <c r="A5" s="774" t="s">
        <v>1054</v>
      </c>
      <c r="B5" s="266" t="s">
        <v>179</v>
      </c>
      <c r="C5" s="413" t="s">
        <v>73</v>
      </c>
      <c r="D5" s="775">
        <v>1430000</v>
      </c>
      <c r="E5" s="522">
        <v>108000</v>
      </c>
      <c r="F5" s="522">
        <v>114000</v>
      </c>
      <c r="G5" s="522">
        <v>114000</v>
      </c>
      <c r="H5" s="522">
        <v>114000</v>
      </c>
      <c r="I5" s="522">
        <v>114000</v>
      </c>
      <c r="J5" s="522">
        <v>114000</v>
      </c>
      <c r="K5" s="522">
        <v>114000</v>
      </c>
      <c r="L5" s="522">
        <v>114000</v>
      </c>
      <c r="M5" s="522">
        <v>114000</v>
      </c>
      <c r="N5" s="522">
        <v>114000</v>
      </c>
      <c r="O5" s="522">
        <v>114000</v>
      </c>
      <c r="P5" s="522">
        <v>114000</v>
      </c>
      <c r="Q5" s="524">
        <f t="shared" si="0"/>
        <v>1362000</v>
      </c>
      <c r="R5" s="522"/>
      <c r="S5" s="522"/>
      <c r="T5" s="522"/>
      <c r="U5" s="522"/>
      <c r="V5" s="522"/>
      <c r="W5" s="522"/>
      <c r="X5" s="655"/>
      <c r="Y5" s="657">
        <f>+Q5+R5+S5+T5+U5+V5+W5+X5</f>
        <v>1362000</v>
      </c>
      <c r="Z5" s="517">
        <v>150000</v>
      </c>
      <c r="AA5" s="770"/>
    </row>
    <row r="6" spans="1:28" s="601" customFormat="1" ht="15">
      <c r="A6" s="774" t="s">
        <v>1039</v>
      </c>
      <c r="B6" s="266" t="s">
        <v>1422</v>
      </c>
      <c r="C6" s="779" t="s">
        <v>73</v>
      </c>
      <c r="D6" s="775">
        <v>1410600</v>
      </c>
      <c r="E6" s="780">
        <v>150700</v>
      </c>
      <c r="F6" s="780">
        <v>150700</v>
      </c>
      <c r="G6" s="780">
        <v>150700</v>
      </c>
      <c r="H6" s="780">
        <v>150700</v>
      </c>
      <c r="I6" s="780">
        <v>150700</v>
      </c>
      <c r="J6" s="780">
        <v>150700</v>
      </c>
      <c r="K6" s="780">
        <v>150700</v>
      </c>
      <c r="L6" s="780">
        <v>150700</v>
      </c>
      <c r="M6" s="780">
        <v>150700</v>
      </c>
      <c r="N6" s="780">
        <v>150700</v>
      </c>
      <c r="O6" s="780">
        <v>150700</v>
      </c>
      <c r="P6" s="780">
        <v>150700</v>
      </c>
      <c r="Q6" s="524">
        <f t="shared" si="0"/>
        <v>1808400</v>
      </c>
      <c r="R6" s="780"/>
      <c r="S6" s="522">
        <v>278300</v>
      </c>
      <c r="T6" s="780"/>
      <c r="U6" s="780"/>
      <c r="V6" s="780"/>
      <c r="W6" s="780"/>
      <c r="X6" s="783"/>
      <c r="Y6" s="657">
        <f>+Q6+R6+S6+T6+U6+V6+W6+X6</f>
        <v>2086700</v>
      </c>
      <c r="Z6" s="773">
        <v>150000</v>
      </c>
      <c r="AA6" s="784"/>
      <c r="AB6" s="785"/>
    </row>
    <row r="7" spans="1:27" ht="15">
      <c r="A7" s="1034" t="s">
        <v>1040</v>
      </c>
      <c r="B7" s="266" t="s">
        <v>727</v>
      </c>
      <c r="C7" s="413" t="s">
        <v>73</v>
      </c>
      <c r="D7" s="776">
        <v>1410700</v>
      </c>
      <c r="E7" s="522"/>
      <c r="F7" s="522">
        <v>162300</v>
      </c>
      <c r="G7" s="522">
        <v>162300</v>
      </c>
      <c r="H7" s="522">
        <v>162300</v>
      </c>
      <c r="I7" s="522">
        <v>162300</v>
      </c>
      <c r="J7" s="522">
        <v>162300</v>
      </c>
      <c r="K7" s="522">
        <v>162300</v>
      </c>
      <c r="L7" s="522">
        <v>162300</v>
      </c>
      <c r="M7" s="522">
        <v>162300</v>
      </c>
      <c r="N7" s="522">
        <v>162300</v>
      </c>
      <c r="O7" s="522">
        <v>162300</v>
      </c>
      <c r="P7" s="522">
        <v>162300</v>
      </c>
      <c r="Q7" s="524">
        <f t="shared" si="0"/>
        <v>1785300</v>
      </c>
      <c r="R7" s="522"/>
      <c r="S7" s="522">
        <v>278300</v>
      </c>
      <c r="T7" s="522"/>
      <c r="U7" s="522"/>
      <c r="V7" s="522"/>
      <c r="W7" s="522"/>
      <c r="X7" s="655"/>
      <c r="Y7" s="657">
        <f>+Q7+R7+S7+T7+U7+V7+W7+X7</f>
        <v>2063600</v>
      </c>
      <c r="Z7" s="773">
        <v>150000</v>
      </c>
      <c r="AA7" s="1038" t="s">
        <v>1171</v>
      </c>
    </row>
    <row r="8" spans="1:27" ht="15">
      <c r="A8" s="774" t="s">
        <v>1041</v>
      </c>
      <c r="B8" s="266" t="s">
        <v>1082</v>
      </c>
      <c r="C8" s="413" t="s">
        <v>73</v>
      </c>
      <c r="D8" s="776">
        <v>1410700</v>
      </c>
      <c r="E8" s="522">
        <v>162300</v>
      </c>
      <c r="F8" s="522">
        <v>162300</v>
      </c>
      <c r="G8" s="522">
        <v>162300</v>
      </c>
      <c r="H8" s="522">
        <v>162300</v>
      </c>
      <c r="I8" s="522">
        <v>162300</v>
      </c>
      <c r="J8" s="522">
        <v>162300</v>
      </c>
      <c r="K8" s="522">
        <v>162300</v>
      </c>
      <c r="L8" s="522">
        <v>162300</v>
      </c>
      <c r="M8" s="522">
        <v>162300</v>
      </c>
      <c r="N8" s="522">
        <v>162300</v>
      </c>
      <c r="O8" s="522">
        <v>162300</v>
      </c>
      <c r="P8" s="522">
        <v>162300</v>
      </c>
      <c r="Q8" s="524">
        <f aca="true" t="shared" si="1" ref="Q8:Q18">SUBTOTAL(9,E8:P8)</f>
        <v>1947600</v>
      </c>
      <c r="R8" s="522"/>
      <c r="S8" s="522">
        <f>38650*12</f>
        <v>463800</v>
      </c>
      <c r="T8" s="522"/>
      <c r="U8" s="522"/>
      <c r="V8" s="522"/>
      <c r="W8" s="522"/>
      <c r="X8" s="655"/>
      <c r="Y8" s="657">
        <f aca="true" t="shared" si="2" ref="Y8:Y17">+Q8+R8+S8+T8+U8+V8+W8+X8</f>
        <v>2411400</v>
      </c>
      <c r="Z8" s="773">
        <v>150000</v>
      </c>
      <c r="AA8" s="784"/>
    </row>
    <row r="9" spans="1:28" s="601" customFormat="1" ht="15">
      <c r="A9" s="774" t="s">
        <v>1042</v>
      </c>
      <c r="B9" s="771" t="s">
        <v>182</v>
      </c>
      <c r="C9" s="777" t="s">
        <v>73</v>
      </c>
      <c r="D9" s="776">
        <v>1410700</v>
      </c>
      <c r="E9" s="778">
        <v>162300</v>
      </c>
      <c r="F9" s="778">
        <v>162300</v>
      </c>
      <c r="G9" s="778">
        <v>162300</v>
      </c>
      <c r="H9" s="778">
        <v>162300</v>
      </c>
      <c r="I9" s="778">
        <v>162300</v>
      </c>
      <c r="J9" s="778">
        <v>162300</v>
      </c>
      <c r="K9" s="778">
        <v>162300</v>
      </c>
      <c r="L9" s="778">
        <v>162300</v>
      </c>
      <c r="M9" s="778">
        <v>162300</v>
      </c>
      <c r="N9" s="778">
        <v>162300</v>
      </c>
      <c r="O9" s="778">
        <v>162300</v>
      </c>
      <c r="P9" s="778">
        <v>162300</v>
      </c>
      <c r="Q9" s="524">
        <f t="shared" si="1"/>
        <v>1947600</v>
      </c>
      <c r="R9" s="778"/>
      <c r="S9" s="522">
        <v>278300</v>
      </c>
      <c r="T9" s="778"/>
      <c r="U9" s="778"/>
      <c r="V9" s="778"/>
      <c r="W9" s="778"/>
      <c r="X9" s="782"/>
      <c r="Y9" s="657">
        <f t="shared" si="2"/>
        <v>2225900</v>
      </c>
      <c r="Z9" s="773">
        <v>150000</v>
      </c>
      <c r="AA9" s="786"/>
      <c r="AB9" s="785"/>
    </row>
    <row r="10" spans="1:27" ht="15">
      <c r="A10" s="774" t="s">
        <v>1043</v>
      </c>
      <c r="B10" s="266" t="s">
        <v>135</v>
      </c>
      <c r="C10" s="413" t="s">
        <v>73</v>
      </c>
      <c r="D10" s="776">
        <v>1420500</v>
      </c>
      <c r="E10" s="522">
        <v>108000</v>
      </c>
      <c r="F10" s="522">
        <v>114000</v>
      </c>
      <c r="G10" s="522">
        <v>114000</v>
      </c>
      <c r="H10" s="522">
        <v>114000</v>
      </c>
      <c r="I10" s="522">
        <v>114000</v>
      </c>
      <c r="J10" s="522">
        <v>114000</v>
      </c>
      <c r="K10" s="522">
        <v>114000</v>
      </c>
      <c r="L10" s="522">
        <v>114000</v>
      </c>
      <c r="M10" s="522">
        <v>114000</v>
      </c>
      <c r="N10" s="522">
        <v>114000</v>
      </c>
      <c r="O10" s="522">
        <v>114000</v>
      </c>
      <c r="P10" s="522">
        <v>114000</v>
      </c>
      <c r="Q10" s="524">
        <f t="shared" si="1"/>
        <v>1362000</v>
      </c>
      <c r="R10" s="522"/>
      <c r="S10" s="522"/>
      <c r="T10" s="522"/>
      <c r="U10" s="522"/>
      <c r="V10" s="522"/>
      <c r="W10" s="522"/>
      <c r="X10" s="655"/>
      <c r="Y10" s="657">
        <f t="shared" si="2"/>
        <v>1362000</v>
      </c>
      <c r="Z10" s="773">
        <v>150000</v>
      </c>
      <c r="AA10" s="950" t="s">
        <v>171</v>
      </c>
    </row>
    <row r="11" spans="1:28" ht="15">
      <c r="A11" s="774" t="s">
        <v>1044</v>
      </c>
      <c r="B11" s="266" t="s">
        <v>1083</v>
      </c>
      <c r="C11" s="413" t="s">
        <v>75</v>
      </c>
      <c r="D11" s="776">
        <v>1400700</v>
      </c>
      <c r="E11" s="522">
        <v>270600</v>
      </c>
      <c r="F11" s="522">
        <v>270600</v>
      </c>
      <c r="G11" s="522">
        <v>270500</v>
      </c>
      <c r="H11" s="522">
        <v>270500</v>
      </c>
      <c r="I11" s="522">
        <v>270500</v>
      </c>
      <c r="J11" s="522">
        <v>270500</v>
      </c>
      <c r="K11" s="522">
        <v>270500</v>
      </c>
      <c r="L11" s="522">
        <v>270500</v>
      </c>
      <c r="M11" s="522">
        <v>270500</v>
      </c>
      <c r="N11" s="522">
        <v>270500</v>
      </c>
      <c r="O11" s="522">
        <v>270500</v>
      </c>
      <c r="P11" s="522">
        <v>270500</v>
      </c>
      <c r="Q11" s="524">
        <f t="shared" si="1"/>
        <v>3246200</v>
      </c>
      <c r="R11" s="522"/>
      <c r="S11" s="522">
        <v>556600</v>
      </c>
      <c r="T11" s="522"/>
      <c r="U11" s="522"/>
      <c r="V11" s="522"/>
      <c r="W11" s="522"/>
      <c r="X11" s="655"/>
      <c r="Y11" s="657">
        <f t="shared" si="2"/>
        <v>3802800</v>
      </c>
      <c r="Z11" s="773">
        <v>150000</v>
      </c>
      <c r="AA11" s="784"/>
      <c r="AB11" s="785"/>
    </row>
    <row r="12" spans="1:27" ht="15">
      <c r="A12" s="774" t="s">
        <v>1055</v>
      </c>
      <c r="B12" s="265" t="s">
        <v>1081</v>
      </c>
      <c r="C12" s="413" t="s">
        <v>75</v>
      </c>
      <c r="D12" s="776">
        <v>1410300</v>
      </c>
      <c r="E12" s="522">
        <v>127500</v>
      </c>
      <c r="F12" s="522">
        <v>127500</v>
      </c>
      <c r="G12" s="522">
        <v>127500</v>
      </c>
      <c r="H12" s="522">
        <v>127500</v>
      </c>
      <c r="I12" s="522">
        <v>135300</v>
      </c>
      <c r="J12" s="522">
        <v>135300</v>
      </c>
      <c r="K12" s="522">
        <v>135300</v>
      </c>
      <c r="L12" s="522">
        <v>135300</v>
      </c>
      <c r="M12" s="522">
        <v>135300</v>
      </c>
      <c r="N12" s="522">
        <v>135300</v>
      </c>
      <c r="O12" s="522">
        <v>135300</v>
      </c>
      <c r="P12" s="522">
        <v>135300</v>
      </c>
      <c r="Q12" s="524">
        <f t="shared" si="1"/>
        <v>1592400</v>
      </c>
      <c r="R12" s="522"/>
      <c r="S12" s="522">
        <v>278300</v>
      </c>
      <c r="T12" s="522"/>
      <c r="U12" s="522"/>
      <c r="V12" s="522"/>
      <c r="W12" s="522"/>
      <c r="X12" s="655"/>
      <c r="Y12" s="657">
        <f t="shared" si="2"/>
        <v>1870700</v>
      </c>
      <c r="Z12" s="773">
        <v>150000</v>
      </c>
      <c r="AA12" s="952" t="s">
        <v>165</v>
      </c>
    </row>
    <row r="13" spans="1:27" ht="15">
      <c r="A13" s="774" t="s">
        <v>1056</v>
      </c>
      <c r="B13" s="265" t="s">
        <v>1474</v>
      </c>
      <c r="C13" s="413" t="s">
        <v>75</v>
      </c>
      <c r="D13" s="776">
        <v>1421600</v>
      </c>
      <c r="E13" s="522">
        <v>170100</v>
      </c>
      <c r="F13" s="522">
        <v>170100</v>
      </c>
      <c r="G13" s="522">
        <v>170100</v>
      </c>
      <c r="H13" s="522">
        <v>170100</v>
      </c>
      <c r="I13" s="522">
        <v>170100</v>
      </c>
      <c r="J13" s="522">
        <v>170100</v>
      </c>
      <c r="K13" s="522">
        <v>170100</v>
      </c>
      <c r="L13" s="522">
        <v>170100</v>
      </c>
      <c r="M13" s="522">
        <v>170100</v>
      </c>
      <c r="N13" s="522">
        <v>170100</v>
      </c>
      <c r="O13" s="522">
        <v>170100</v>
      </c>
      <c r="P13" s="522">
        <v>170100</v>
      </c>
      <c r="Q13" s="524">
        <f t="shared" si="1"/>
        <v>2041200</v>
      </c>
      <c r="R13" s="522"/>
      <c r="S13" s="522"/>
      <c r="T13" s="522"/>
      <c r="U13" s="522"/>
      <c r="V13" s="522"/>
      <c r="W13" s="522"/>
      <c r="X13" s="655"/>
      <c r="Y13" s="657">
        <f t="shared" si="2"/>
        <v>2041200</v>
      </c>
      <c r="Z13" s="773">
        <v>150000</v>
      </c>
      <c r="AA13" s="784"/>
    </row>
    <row r="14" spans="1:28" s="601" customFormat="1" ht="15">
      <c r="A14" s="774" t="s">
        <v>1057</v>
      </c>
      <c r="B14" s="266" t="s">
        <v>460</v>
      </c>
      <c r="C14" s="413" t="s">
        <v>75</v>
      </c>
      <c r="D14" s="776">
        <v>1421100</v>
      </c>
      <c r="E14" s="522">
        <v>108200</v>
      </c>
      <c r="F14" s="522">
        <v>114000</v>
      </c>
      <c r="G14" s="522">
        <v>114000</v>
      </c>
      <c r="H14" s="522">
        <v>114000</v>
      </c>
      <c r="I14" s="522">
        <v>114000</v>
      </c>
      <c r="J14" s="522">
        <v>114000</v>
      </c>
      <c r="K14" s="522">
        <v>114000</v>
      </c>
      <c r="L14" s="522">
        <v>114000</v>
      </c>
      <c r="M14" s="522">
        <v>114000</v>
      </c>
      <c r="N14" s="522">
        <v>114000</v>
      </c>
      <c r="O14" s="522">
        <v>114000</v>
      </c>
      <c r="P14" s="522">
        <v>114000</v>
      </c>
      <c r="Q14" s="524">
        <f t="shared" si="1"/>
        <v>1362200</v>
      </c>
      <c r="R14" s="522">
        <v>240300</v>
      </c>
      <c r="S14" s="522"/>
      <c r="T14" s="522"/>
      <c r="U14" s="522"/>
      <c r="V14" s="522"/>
      <c r="W14" s="522"/>
      <c r="X14" s="655"/>
      <c r="Y14" s="657">
        <f t="shared" si="2"/>
        <v>1602500</v>
      </c>
      <c r="Z14" s="773">
        <v>150000</v>
      </c>
      <c r="AA14" s="786"/>
      <c r="AB14" s="785"/>
    </row>
    <row r="15" spans="1:27" ht="15">
      <c r="A15" s="774" t="s">
        <v>1058</v>
      </c>
      <c r="B15" s="266" t="s">
        <v>459</v>
      </c>
      <c r="C15" s="413" t="s">
        <v>75</v>
      </c>
      <c r="D15" s="776">
        <v>1410700</v>
      </c>
      <c r="E15" s="522">
        <v>162300</v>
      </c>
      <c r="F15" s="522">
        <v>162300</v>
      </c>
      <c r="G15" s="522">
        <v>162300</v>
      </c>
      <c r="H15" s="522">
        <v>162300</v>
      </c>
      <c r="I15" s="522">
        <v>162300</v>
      </c>
      <c r="J15" s="522">
        <v>162300</v>
      </c>
      <c r="K15" s="522">
        <v>162300</v>
      </c>
      <c r="L15" s="522">
        <v>162300</v>
      </c>
      <c r="M15" s="522">
        <v>162300</v>
      </c>
      <c r="N15" s="522">
        <v>162300</v>
      </c>
      <c r="O15" s="522">
        <v>162300</v>
      </c>
      <c r="P15" s="522">
        <v>162300</v>
      </c>
      <c r="Q15" s="524">
        <f t="shared" si="1"/>
        <v>1947600</v>
      </c>
      <c r="R15" s="522"/>
      <c r="S15" s="522">
        <v>278300</v>
      </c>
      <c r="T15" s="522"/>
      <c r="U15" s="522"/>
      <c r="V15" s="522"/>
      <c r="W15" s="522"/>
      <c r="X15" s="655"/>
      <c r="Y15" s="657">
        <f t="shared" si="2"/>
        <v>2225900</v>
      </c>
      <c r="Z15" s="773">
        <v>150000</v>
      </c>
      <c r="AA15" s="773"/>
    </row>
    <row r="16" spans="1:27" ht="15">
      <c r="A16" s="774" t="s">
        <v>1059</v>
      </c>
      <c r="B16" s="792" t="s">
        <v>960</v>
      </c>
      <c r="C16" s="413" t="s">
        <v>75</v>
      </c>
      <c r="D16" s="948">
        <v>1410200</v>
      </c>
      <c r="E16" s="522">
        <v>100000</v>
      </c>
      <c r="F16" s="522">
        <v>40000</v>
      </c>
      <c r="G16" s="522">
        <v>123700</v>
      </c>
      <c r="H16" s="522">
        <v>123700</v>
      </c>
      <c r="I16" s="522">
        <v>123700</v>
      </c>
      <c r="J16" s="522">
        <v>123700</v>
      </c>
      <c r="K16" s="522">
        <v>123700</v>
      </c>
      <c r="L16" s="522">
        <v>123700</v>
      </c>
      <c r="M16" s="522">
        <v>123700</v>
      </c>
      <c r="N16" s="522">
        <v>123700</v>
      </c>
      <c r="O16" s="522">
        <v>123700</v>
      </c>
      <c r="P16" s="522">
        <v>123700</v>
      </c>
      <c r="Q16" s="524">
        <f t="shared" si="1"/>
        <v>1377000</v>
      </c>
      <c r="R16" s="522"/>
      <c r="S16" s="522"/>
      <c r="T16" s="522"/>
      <c r="U16" s="522"/>
      <c r="V16" s="522"/>
      <c r="W16" s="522"/>
      <c r="X16" s="655"/>
      <c r="Y16" s="657">
        <f t="shared" si="2"/>
        <v>1377000</v>
      </c>
      <c r="Z16" s="773">
        <v>150000</v>
      </c>
      <c r="AA16" s="773"/>
    </row>
    <row r="17" spans="1:28" s="601" customFormat="1" ht="15">
      <c r="A17" s="774" t="s">
        <v>1060</v>
      </c>
      <c r="B17" s="792" t="s">
        <v>959</v>
      </c>
      <c r="C17" s="413" t="s">
        <v>75</v>
      </c>
      <c r="D17" s="948">
        <v>1420100</v>
      </c>
      <c r="E17" s="772">
        <v>108000</v>
      </c>
      <c r="F17" s="772">
        <v>114000</v>
      </c>
      <c r="G17" s="772">
        <v>114000</v>
      </c>
      <c r="H17" s="772">
        <v>114000</v>
      </c>
      <c r="I17" s="772">
        <v>114000</v>
      </c>
      <c r="J17" s="772">
        <v>114000</v>
      </c>
      <c r="K17" s="772">
        <v>114000</v>
      </c>
      <c r="L17" s="772">
        <v>114000</v>
      </c>
      <c r="M17" s="772">
        <v>114000</v>
      </c>
      <c r="N17" s="772">
        <v>114000</v>
      </c>
      <c r="O17" s="772">
        <v>114000</v>
      </c>
      <c r="P17" s="772">
        <v>114000</v>
      </c>
      <c r="Q17" s="524">
        <f t="shared" si="1"/>
        <v>1362000</v>
      </c>
      <c r="R17" s="778"/>
      <c r="S17" s="772"/>
      <c r="T17" s="778"/>
      <c r="U17" s="778"/>
      <c r="V17" s="778"/>
      <c r="W17" s="778"/>
      <c r="X17" s="782"/>
      <c r="Y17" s="657">
        <f t="shared" si="2"/>
        <v>1362000</v>
      </c>
      <c r="Z17" s="773">
        <v>150000</v>
      </c>
      <c r="AA17" s="786" t="s">
        <v>167</v>
      </c>
      <c r="AB17" s="785"/>
    </row>
    <row r="18" spans="1:27" ht="15">
      <c r="A18" s="774" t="s">
        <v>1061</v>
      </c>
      <c r="B18" s="790" t="s">
        <v>181</v>
      </c>
      <c r="C18" s="777" t="s">
        <v>77</v>
      </c>
      <c r="D18" s="791" t="s">
        <v>142</v>
      </c>
      <c r="E18" s="778">
        <v>483200</v>
      </c>
      <c r="F18" s="778">
        <v>483200</v>
      </c>
      <c r="G18" s="778">
        <v>483200</v>
      </c>
      <c r="H18" s="778">
        <v>483200</v>
      </c>
      <c r="I18" s="778">
        <v>483200</v>
      </c>
      <c r="J18" s="778">
        <v>483200</v>
      </c>
      <c r="K18" s="778">
        <v>483200</v>
      </c>
      <c r="L18" s="778">
        <v>483200</v>
      </c>
      <c r="M18" s="778">
        <v>483200</v>
      </c>
      <c r="N18" s="778">
        <v>483200</v>
      </c>
      <c r="O18" s="778">
        <v>483200</v>
      </c>
      <c r="P18" s="778">
        <v>483200</v>
      </c>
      <c r="Q18" s="524">
        <f t="shared" si="1"/>
        <v>5798400</v>
      </c>
      <c r="R18" s="778"/>
      <c r="S18" s="772"/>
      <c r="T18" s="778"/>
      <c r="U18" s="778"/>
      <c r="V18" s="778"/>
      <c r="W18" s="778"/>
      <c r="X18" s="782"/>
      <c r="Y18" s="657">
        <f aca="true" t="shared" si="3" ref="Y18:Y36">+Q18+R18+S18+T18+U18+V18+W18+X18</f>
        <v>5798400</v>
      </c>
      <c r="Z18" s="773">
        <v>150000</v>
      </c>
      <c r="AA18" s="773"/>
    </row>
    <row r="19" spans="1:27" ht="15">
      <c r="A19" s="774" t="s">
        <v>1062</v>
      </c>
      <c r="B19" s="266" t="s">
        <v>846</v>
      </c>
      <c r="C19" s="413" t="s">
        <v>73</v>
      </c>
      <c r="D19" s="776">
        <v>1410800</v>
      </c>
      <c r="E19" s="522">
        <v>170100</v>
      </c>
      <c r="F19" s="522">
        <v>170100</v>
      </c>
      <c r="G19" s="522">
        <v>170100</v>
      </c>
      <c r="H19" s="522">
        <v>170100</v>
      </c>
      <c r="I19" s="522">
        <v>170100</v>
      </c>
      <c r="J19" s="522">
        <v>170100</v>
      </c>
      <c r="K19" s="522">
        <v>170100</v>
      </c>
      <c r="L19" s="522">
        <v>170100</v>
      </c>
      <c r="M19" s="522">
        <v>170100</v>
      </c>
      <c r="N19" s="522">
        <v>170100</v>
      </c>
      <c r="O19" s="522">
        <v>170100</v>
      </c>
      <c r="P19" s="522">
        <v>170100</v>
      </c>
      <c r="Q19" s="524">
        <f aca="true" t="shared" si="4" ref="Q19:Q37">SUBTOTAL(9,E19:P19)</f>
        <v>2041200</v>
      </c>
      <c r="R19" s="522"/>
      <c r="S19" s="522">
        <v>278300</v>
      </c>
      <c r="T19" s="522"/>
      <c r="U19" s="522"/>
      <c r="V19" s="522"/>
      <c r="W19" s="522"/>
      <c r="X19" s="655"/>
      <c r="Y19" s="657">
        <f t="shared" si="3"/>
        <v>2319500</v>
      </c>
      <c r="Z19" s="773">
        <v>150000</v>
      </c>
      <c r="AA19" s="787"/>
    </row>
    <row r="20" spans="1:27" ht="15">
      <c r="A20" s="1034" t="s">
        <v>1063</v>
      </c>
      <c r="B20" s="266" t="s">
        <v>947</v>
      </c>
      <c r="C20" s="413" t="s">
        <v>71</v>
      </c>
      <c r="D20" s="776">
        <v>1411000</v>
      </c>
      <c r="E20" s="522">
        <v>270600</v>
      </c>
      <c r="F20" s="522">
        <v>270600</v>
      </c>
      <c r="G20" s="522">
        <v>270600</v>
      </c>
      <c r="H20" s="522">
        <v>270600</v>
      </c>
      <c r="I20" s="522">
        <v>270600</v>
      </c>
      <c r="J20" s="522">
        <v>270600</v>
      </c>
      <c r="K20" s="522">
        <v>270600</v>
      </c>
      <c r="L20" s="522">
        <v>270600</v>
      </c>
      <c r="M20" s="522">
        <v>270600</v>
      </c>
      <c r="N20" s="522">
        <v>270600</v>
      </c>
      <c r="O20" s="522">
        <v>270600</v>
      </c>
      <c r="P20" s="522">
        <v>270600</v>
      </c>
      <c r="Q20" s="524">
        <f t="shared" si="4"/>
        <v>3247200</v>
      </c>
      <c r="R20" s="522"/>
      <c r="S20" s="522"/>
      <c r="T20" s="522"/>
      <c r="U20" s="522"/>
      <c r="V20" s="522"/>
      <c r="W20" s="522"/>
      <c r="X20" s="655"/>
      <c r="Y20" s="657">
        <f t="shared" si="3"/>
        <v>3247200</v>
      </c>
      <c r="Z20" s="773">
        <v>150000</v>
      </c>
      <c r="AA20" s="1037"/>
    </row>
    <row r="21" spans="1:28" ht="15">
      <c r="A21" s="774" t="s">
        <v>817</v>
      </c>
      <c r="B21" s="266" t="s">
        <v>1469</v>
      </c>
      <c r="C21" s="413" t="s">
        <v>128</v>
      </c>
      <c r="D21" s="775">
        <v>1430000</v>
      </c>
      <c r="E21" s="522">
        <v>108000</v>
      </c>
      <c r="F21" s="522">
        <v>114000</v>
      </c>
      <c r="G21" s="522">
        <v>114000</v>
      </c>
      <c r="H21" s="522">
        <v>114000</v>
      </c>
      <c r="I21" s="522">
        <v>114000</v>
      </c>
      <c r="J21" s="522">
        <v>114000</v>
      </c>
      <c r="K21" s="522">
        <v>114000</v>
      </c>
      <c r="L21" s="522">
        <v>114000</v>
      </c>
      <c r="M21" s="522">
        <v>114000</v>
      </c>
      <c r="N21" s="522">
        <v>114000</v>
      </c>
      <c r="O21" s="522">
        <v>114000</v>
      </c>
      <c r="P21" s="522">
        <v>114000</v>
      </c>
      <c r="Q21" s="524">
        <f t="shared" si="4"/>
        <v>1362000</v>
      </c>
      <c r="R21" s="522"/>
      <c r="S21" s="522"/>
      <c r="T21" s="522"/>
      <c r="U21" s="522"/>
      <c r="V21" s="522"/>
      <c r="W21" s="522"/>
      <c r="X21" s="655"/>
      <c r="Y21" s="657">
        <f t="shared" si="3"/>
        <v>1362000</v>
      </c>
      <c r="Z21" s="517">
        <v>150000</v>
      </c>
      <c r="AA21" s="518" t="s">
        <v>168</v>
      </c>
      <c r="AB21" s="785"/>
    </row>
    <row r="22" spans="1:27" ht="15">
      <c r="A22" s="774" t="s">
        <v>818</v>
      </c>
      <c r="B22" s="266" t="s">
        <v>784</v>
      </c>
      <c r="C22" s="413" t="s">
        <v>128</v>
      </c>
      <c r="D22" s="776">
        <v>1421200</v>
      </c>
      <c r="E22" s="522">
        <v>110200</v>
      </c>
      <c r="F22" s="522">
        <v>114000</v>
      </c>
      <c r="G22" s="522">
        <v>114000</v>
      </c>
      <c r="H22" s="522">
        <v>114000</v>
      </c>
      <c r="I22" s="522">
        <v>114000</v>
      </c>
      <c r="J22" s="522">
        <v>114000</v>
      </c>
      <c r="K22" s="522">
        <v>114000</v>
      </c>
      <c r="L22" s="522">
        <v>114000</v>
      </c>
      <c r="M22" s="522">
        <v>114000</v>
      </c>
      <c r="N22" s="522">
        <v>114000</v>
      </c>
      <c r="O22" s="522">
        <v>114000</v>
      </c>
      <c r="P22" s="522">
        <v>114000</v>
      </c>
      <c r="Q22" s="524">
        <f t="shared" si="4"/>
        <v>1364200</v>
      </c>
      <c r="R22" s="522"/>
      <c r="S22" s="522"/>
      <c r="T22" s="522"/>
      <c r="U22" s="522"/>
      <c r="V22" s="522"/>
      <c r="W22" s="522"/>
      <c r="X22" s="655"/>
      <c r="Y22" s="657">
        <f t="shared" si="3"/>
        <v>1364200</v>
      </c>
      <c r="Z22" s="773">
        <v>150000</v>
      </c>
      <c r="AA22" s="950" t="s">
        <v>169</v>
      </c>
    </row>
    <row r="23" spans="1:28" s="601" customFormat="1" ht="15">
      <c r="A23" s="774" t="s">
        <v>819</v>
      </c>
      <c r="B23" s="266" t="s">
        <v>1475</v>
      </c>
      <c r="C23" s="413" t="s">
        <v>128</v>
      </c>
      <c r="D23" s="775">
        <v>1400400</v>
      </c>
      <c r="E23" s="522">
        <v>318900</v>
      </c>
      <c r="F23" s="522">
        <v>400000</v>
      </c>
      <c r="G23" s="522">
        <v>400000</v>
      </c>
      <c r="H23" s="522">
        <v>400000</v>
      </c>
      <c r="I23" s="522">
        <v>400000</v>
      </c>
      <c r="J23" s="522">
        <v>400000</v>
      </c>
      <c r="K23" s="522">
        <v>400000</v>
      </c>
      <c r="L23" s="522">
        <v>400000</v>
      </c>
      <c r="M23" s="522">
        <v>400000</v>
      </c>
      <c r="N23" s="522">
        <v>400000</v>
      </c>
      <c r="O23" s="522">
        <v>400000</v>
      </c>
      <c r="P23" s="522">
        <v>400000</v>
      </c>
      <c r="Q23" s="524">
        <f t="shared" si="4"/>
        <v>4718900</v>
      </c>
      <c r="R23" s="522">
        <v>63800</v>
      </c>
      <c r="S23" s="522"/>
      <c r="T23" s="793"/>
      <c r="U23" s="522">
        <v>17400</v>
      </c>
      <c r="V23" s="522"/>
      <c r="W23" s="522">
        <v>2000000</v>
      </c>
      <c r="X23" s="655"/>
      <c r="Y23" s="657">
        <f t="shared" si="3"/>
        <v>6800100</v>
      </c>
      <c r="Z23" s="773">
        <v>150000</v>
      </c>
      <c r="AA23" s="1055" t="s">
        <v>848</v>
      </c>
      <c r="AB23" s="785"/>
    </row>
    <row r="24" spans="1:28" s="601" customFormat="1" ht="15">
      <c r="A24" s="774" t="s">
        <v>820</v>
      </c>
      <c r="B24" s="266" t="s">
        <v>76</v>
      </c>
      <c r="C24" s="413" t="s">
        <v>76</v>
      </c>
      <c r="D24" s="775">
        <v>1400400</v>
      </c>
      <c r="E24" s="522">
        <v>318900</v>
      </c>
      <c r="F24" s="522"/>
      <c r="G24" s="522"/>
      <c r="H24" s="522"/>
      <c r="I24" s="522">
        <v>318900</v>
      </c>
      <c r="J24" s="522">
        <v>318900</v>
      </c>
      <c r="K24" s="522">
        <v>318900</v>
      </c>
      <c r="L24" s="522">
        <v>318900</v>
      </c>
      <c r="M24" s="522">
        <v>318900</v>
      </c>
      <c r="N24" s="522">
        <v>318900</v>
      </c>
      <c r="O24" s="522">
        <v>318900</v>
      </c>
      <c r="P24" s="522">
        <v>318900</v>
      </c>
      <c r="Q24" s="524">
        <f t="shared" si="4"/>
        <v>2870100</v>
      </c>
      <c r="R24" s="522">
        <v>574000</v>
      </c>
      <c r="S24" s="522"/>
      <c r="T24" s="793"/>
      <c r="U24" s="522">
        <v>156300</v>
      </c>
      <c r="V24" s="522"/>
      <c r="W24" s="522"/>
      <c r="X24" s="655"/>
      <c r="Y24" s="657">
        <f t="shared" si="3"/>
        <v>3600400</v>
      </c>
      <c r="Z24" s="773">
        <v>150000</v>
      </c>
      <c r="AA24" s="773"/>
      <c r="AB24" s="785"/>
    </row>
    <row r="25" spans="1:27" ht="15">
      <c r="A25" s="774" t="s">
        <v>821</v>
      </c>
      <c r="B25" s="266" t="s">
        <v>136</v>
      </c>
      <c r="C25" s="413" t="s">
        <v>128</v>
      </c>
      <c r="D25" s="776">
        <v>1410300</v>
      </c>
      <c r="E25" s="522">
        <v>127500</v>
      </c>
      <c r="F25" s="522">
        <v>127500</v>
      </c>
      <c r="G25" s="522">
        <v>127500</v>
      </c>
      <c r="H25" s="522">
        <v>127500</v>
      </c>
      <c r="I25" s="522">
        <v>127500</v>
      </c>
      <c r="J25" s="522">
        <v>127500</v>
      </c>
      <c r="K25" s="522">
        <v>127500</v>
      </c>
      <c r="L25" s="522">
        <v>127500</v>
      </c>
      <c r="M25" s="522">
        <v>127500</v>
      </c>
      <c r="N25" s="522">
        <v>135300</v>
      </c>
      <c r="O25" s="522">
        <v>135300</v>
      </c>
      <c r="P25" s="522">
        <v>135300</v>
      </c>
      <c r="Q25" s="524">
        <f t="shared" si="4"/>
        <v>1553400</v>
      </c>
      <c r="R25" s="522"/>
      <c r="S25" s="522"/>
      <c r="T25" s="522"/>
      <c r="U25" s="522"/>
      <c r="V25" s="522"/>
      <c r="W25" s="522"/>
      <c r="X25" s="655"/>
      <c r="Y25" s="657">
        <f t="shared" si="3"/>
        <v>1553400</v>
      </c>
      <c r="Z25" s="773">
        <v>150000</v>
      </c>
      <c r="AA25" s="953" t="s">
        <v>170</v>
      </c>
    </row>
    <row r="26" spans="1:27" ht="15">
      <c r="A26" s="774" t="s">
        <v>822</v>
      </c>
      <c r="B26" s="266" t="s">
        <v>847</v>
      </c>
      <c r="C26" s="413" t="s">
        <v>128</v>
      </c>
      <c r="D26" s="776"/>
      <c r="E26" s="522">
        <v>135300</v>
      </c>
      <c r="F26" s="522">
        <v>270600</v>
      </c>
      <c r="G26" s="522">
        <v>270600</v>
      </c>
      <c r="H26" s="522">
        <v>270600</v>
      </c>
      <c r="I26" s="522">
        <v>270600</v>
      </c>
      <c r="J26" s="522">
        <v>270600</v>
      </c>
      <c r="K26" s="522">
        <v>270600</v>
      </c>
      <c r="L26" s="522">
        <v>270600</v>
      </c>
      <c r="M26" s="522">
        <v>270600</v>
      </c>
      <c r="N26" s="522">
        <v>270600</v>
      </c>
      <c r="O26" s="522">
        <v>270600</v>
      </c>
      <c r="P26" s="522">
        <v>270600</v>
      </c>
      <c r="Q26" s="524">
        <f t="shared" si="4"/>
        <v>3111900</v>
      </c>
      <c r="R26" s="522"/>
      <c r="S26" s="522">
        <v>278300</v>
      </c>
      <c r="T26" s="522"/>
      <c r="U26" s="522"/>
      <c r="V26" s="522"/>
      <c r="W26" s="522"/>
      <c r="X26" s="655"/>
      <c r="Y26" s="657">
        <f t="shared" si="3"/>
        <v>3390200</v>
      </c>
      <c r="Z26" s="773">
        <v>150000</v>
      </c>
      <c r="AA26" s="953"/>
    </row>
    <row r="27" spans="1:27" ht="15">
      <c r="A27" s="774" t="s">
        <v>823</v>
      </c>
      <c r="B27" s="266" t="s">
        <v>731</v>
      </c>
      <c r="C27" s="413" t="s">
        <v>128</v>
      </c>
      <c r="D27" s="776">
        <v>1410300</v>
      </c>
      <c r="E27" s="522">
        <v>127500</v>
      </c>
      <c r="F27" s="522">
        <v>127500</v>
      </c>
      <c r="G27" s="522">
        <v>127500</v>
      </c>
      <c r="H27" s="522">
        <v>127500</v>
      </c>
      <c r="I27" s="522">
        <v>127500</v>
      </c>
      <c r="J27" s="522">
        <v>127500</v>
      </c>
      <c r="K27" s="522">
        <v>127500</v>
      </c>
      <c r="L27" s="522">
        <v>127500</v>
      </c>
      <c r="M27" s="522">
        <v>127500</v>
      </c>
      <c r="N27" s="522">
        <v>127500</v>
      </c>
      <c r="O27" s="522">
        <v>127500</v>
      </c>
      <c r="P27" s="522">
        <v>127500</v>
      </c>
      <c r="Q27" s="524">
        <f t="shared" si="4"/>
        <v>1530000</v>
      </c>
      <c r="R27" s="522"/>
      <c r="S27" s="522">
        <v>278300</v>
      </c>
      <c r="T27" s="522"/>
      <c r="U27" s="522"/>
      <c r="V27" s="522"/>
      <c r="W27" s="522"/>
      <c r="X27" s="655"/>
      <c r="Y27" s="657">
        <f t="shared" si="3"/>
        <v>1808300</v>
      </c>
      <c r="Z27" s="773">
        <v>150000</v>
      </c>
      <c r="AA27" s="1035" t="s">
        <v>1170</v>
      </c>
    </row>
    <row r="28" spans="1:28" s="601" customFormat="1" ht="15">
      <c r="A28" s="774" t="s">
        <v>824</v>
      </c>
      <c r="B28" s="265" t="s">
        <v>180</v>
      </c>
      <c r="C28" s="413" t="s">
        <v>72</v>
      </c>
      <c r="D28" s="775">
        <v>1410700</v>
      </c>
      <c r="E28" s="522">
        <v>162300</v>
      </c>
      <c r="F28" s="522">
        <v>162300</v>
      </c>
      <c r="G28" s="522">
        <v>162300</v>
      </c>
      <c r="H28" s="522">
        <v>162300</v>
      </c>
      <c r="I28" s="522">
        <v>162300</v>
      </c>
      <c r="J28" s="522">
        <v>162300</v>
      </c>
      <c r="K28" s="522">
        <v>162300</v>
      </c>
      <c r="L28" s="522">
        <v>162300</v>
      </c>
      <c r="M28" s="522">
        <v>162300</v>
      </c>
      <c r="N28" s="522">
        <v>162300</v>
      </c>
      <c r="O28" s="522">
        <v>162300</v>
      </c>
      <c r="P28" s="522">
        <v>162300</v>
      </c>
      <c r="Q28" s="524">
        <f t="shared" si="4"/>
        <v>1947600</v>
      </c>
      <c r="R28" s="522"/>
      <c r="S28" s="522">
        <f>38650*12</f>
        <v>463800</v>
      </c>
      <c r="T28" s="522"/>
      <c r="U28" s="522"/>
      <c r="V28" s="522"/>
      <c r="W28" s="522"/>
      <c r="X28" s="655"/>
      <c r="Y28" s="657">
        <f t="shared" si="3"/>
        <v>2411400</v>
      </c>
      <c r="Z28" s="773">
        <v>150000</v>
      </c>
      <c r="AA28" s="786"/>
      <c r="AB28" s="785"/>
    </row>
    <row r="29" spans="1:27" ht="15">
      <c r="A29" s="774" t="s">
        <v>825</v>
      </c>
      <c r="B29" s="265" t="s">
        <v>1471</v>
      </c>
      <c r="C29" s="413" t="s">
        <v>72</v>
      </c>
      <c r="D29" s="775">
        <v>1421300</v>
      </c>
      <c r="E29" s="522">
        <v>112100</v>
      </c>
      <c r="F29" s="522">
        <v>114000</v>
      </c>
      <c r="G29" s="522">
        <v>114000</v>
      </c>
      <c r="H29" s="522">
        <v>114000</v>
      </c>
      <c r="I29" s="522">
        <v>114000</v>
      </c>
      <c r="J29" s="522">
        <v>114000</v>
      </c>
      <c r="K29" s="522">
        <v>114000</v>
      </c>
      <c r="L29" s="522">
        <v>114000</v>
      </c>
      <c r="M29" s="522">
        <v>114000</v>
      </c>
      <c r="N29" s="522">
        <v>114000</v>
      </c>
      <c r="O29" s="522">
        <v>114000</v>
      </c>
      <c r="P29" s="522">
        <v>127500</v>
      </c>
      <c r="Q29" s="524">
        <f t="shared" si="4"/>
        <v>1379600</v>
      </c>
      <c r="R29" s="522"/>
      <c r="S29" s="522"/>
      <c r="T29" s="522"/>
      <c r="U29" s="522"/>
      <c r="V29" s="522"/>
      <c r="W29" s="522"/>
      <c r="X29" s="655"/>
      <c r="Y29" s="657">
        <f t="shared" si="3"/>
        <v>1379600</v>
      </c>
      <c r="Z29" s="773">
        <v>150000</v>
      </c>
      <c r="AA29" s="952" t="s">
        <v>172</v>
      </c>
    </row>
    <row r="30" spans="1:27" ht="15">
      <c r="A30" s="774" t="s">
        <v>826</v>
      </c>
      <c r="B30" s="266" t="s">
        <v>1477</v>
      </c>
      <c r="C30" s="413" t="s">
        <v>72</v>
      </c>
      <c r="D30" s="776">
        <v>1400700</v>
      </c>
      <c r="E30" s="522">
        <v>270600</v>
      </c>
      <c r="F30" s="522">
        <v>270600</v>
      </c>
      <c r="G30" s="522">
        <v>270600</v>
      </c>
      <c r="H30" s="522">
        <v>270600</v>
      </c>
      <c r="I30" s="522">
        <v>270600</v>
      </c>
      <c r="J30" s="522">
        <v>270600</v>
      </c>
      <c r="K30" s="522">
        <v>270600</v>
      </c>
      <c r="L30" s="522">
        <v>270600</v>
      </c>
      <c r="M30" s="522">
        <v>270600</v>
      </c>
      <c r="N30" s="522">
        <v>270600</v>
      </c>
      <c r="O30" s="522">
        <v>270600</v>
      </c>
      <c r="P30" s="522">
        <v>270600</v>
      </c>
      <c r="Q30" s="524">
        <f t="shared" si="4"/>
        <v>3247200</v>
      </c>
      <c r="R30" s="522"/>
      <c r="S30" s="522">
        <v>278300</v>
      </c>
      <c r="T30" s="522"/>
      <c r="U30" s="522"/>
      <c r="V30" s="522"/>
      <c r="W30" s="522"/>
      <c r="X30" s="655"/>
      <c r="Y30" s="657">
        <f t="shared" si="3"/>
        <v>3525500</v>
      </c>
      <c r="Z30" s="773">
        <v>150000</v>
      </c>
      <c r="AA30" s="773"/>
    </row>
    <row r="31" spans="1:27" ht="15">
      <c r="A31" s="774" t="s">
        <v>737</v>
      </c>
      <c r="B31" s="266" t="s">
        <v>1473</v>
      </c>
      <c r="C31" s="413" t="s">
        <v>71</v>
      </c>
      <c r="D31" s="776">
        <v>1421400</v>
      </c>
      <c r="E31" s="522">
        <v>127500</v>
      </c>
      <c r="F31" s="522">
        <v>127500</v>
      </c>
      <c r="G31" s="522">
        <v>127500</v>
      </c>
      <c r="H31" s="522">
        <v>127500</v>
      </c>
      <c r="I31" s="522">
        <v>154600</v>
      </c>
      <c r="J31" s="522">
        <v>154600</v>
      </c>
      <c r="K31" s="522">
        <v>154600</v>
      </c>
      <c r="L31" s="522">
        <v>154600</v>
      </c>
      <c r="M31" s="522">
        <v>154600</v>
      </c>
      <c r="N31" s="522">
        <v>154600</v>
      </c>
      <c r="O31" s="522">
        <v>154600</v>
      </c>
      <c r="P31" s="522">
        <v>154600</v>
      </c>
      <c r="Q31" s="524">
        <f t="shared" si="4"/>
        <v>1746800</v>
      </c>
      <c r="R31" s="522"/>
      <c r="S31" s="522"/>
      <c r="T31" s="522"/>
      <c r="U31" s="522"/>
      <c r="V31" s="522"/>
      <c r="W31" s="522"/>
      <c r="X31" s="655"/>
      <c r="Y31" s="657">
        <f t="shared" si="3"/>
        <v>1746800</v>
      </c>
      <c r="Z31" s="773">
        <v>150000</v>
      </c>
      <c r="AA31" s="952" t="s">
        <v>173</v>
      </c>
    </row>
    <row r="32" spans="1:27" ht="15">
      <c r="A32" s="774" t="s">
        <v>738</v>
      </c>
      <c r="B32" s="266" t="s">
        <v>734</v>
      </c>
      <c r="C32" s="413" t="s">
        <v>71</v>
      </c>
      <c r="D32" s="776"/>
      <c r="E32" s="522">
        <v>114000</v>
      </c>
      <c r="F32" s="522">
        <v>114000</v>
      </c>
      <c r="G32" s="522">
        <v>114000</v>
      </c>
      <c r="H32" s="522">
        <v>114000</v>
      </c>
      <c r="I32" s="522">
        <v>114000</v>
      </c>
      <c r="J32" s="522">
        <v>114000</v>
      </c>
      <c r="K32" s="522">
        <v>114000</v>
      </c>
      <c r="L32" s="522">
        <v>114000</v>
      </c>
      <c r="M32" s="522">
        <v>114000</v>
      </c>
      <c r="N32" s="522">
        <v>114000</v>
      </c>
      <c r="O32" s="522">
        <v>114000</v>
      </c>
      <c r="P32" s="522">
        <v>114000</v>
      </c>
      <c r="Q32" s="524">
        <f t="shared" si="4"/>
        <v>1368000</v>
      </c>
      <c r="R32" s="522"/>
      <c r="S32" s="522"/>
      <c r="T32" s="522"/>
      <c r="U32" s="522"/>
      <c r="V32" s="522"/>
      <c r="W32" s="522"/>
      <c r="X32" s="655"/>
      <c r="Y32" s="657">
        <f t="shared" si="3"/>
        <v>1368000</v>
      </c>
      <c r="Z32" s="773">
        <v>150000</v>
      </c>
      <c r="AA32" s="1035" t="s">
        <v>1172</v>
      </c>
    </row>
    <row r="33" spans="1:27" ht="15">
      <c r="A33" s="774" t="s">
        <v>739</v>
      </c>
      <c r="B33" s="266" t="s">
        <v>735</v>
      </c>
      <c r="C33" s="413" t="s">
        <v>71</v>
      </c>
      <c r="D33" s="776"/>
      <c r="E33" s="522">
        <v>146700</v>
      </c>
      <c r="F33" s="522">
        <v>146700</v>
      </c>
      <c r="G33" s="522">
        <v>146700</v>
      </c>
      <c r="H33" s="522">
        <v>146700</v>
      </c>
      <c r="I33" s="522">
        <v>146700</v>
      </c>
      <c r="J33" s="522">
        <v>146700</v>
      </c>
      <c r="K33" s="522">
        <v>146700</v>
      </c>
      <c r="L33" s="522">
        <v>146700</v>
      </c>
      <c r="M33" s="522">
        <v>146700</v>
      </c>
      <c r="N33" s="522">
        <v>146700</v>
      </c>
      <c r="O33" s="522">
        <v>146700</v>
      </c>
      <c r="P33" s="522">
        <v>146700</v>
      </c>
      <c r="Q33" s="524">
        <f t="shared" si="4"/>
        <v>1760400</v>
      </c>
      <c r="R33" s="522"/>
      <c r="S33" s="522"/>
      <c r="T33" s="522"/>
      <c r="U33" s="522"/>
      <c r="V33" s="522"/>
      <c r="W33" s="522"/>
      <c r="X33" s="655"/>
      <c r="Y33" s="657">
        <f t="shared" si="3"/>
        <v>1760400</v>
      </c>
      <c r="Z33" s="773">
        <v>150000</v>
      </c>
      <c r="AA33" s="1035"/>
    </row>
    <row r="34" spans="1:27" s="267" customFormat="1" ht="15">
      <c r="A34" s="774" t="s">
        <v>740</v>
      </c>
      <c r="B34" s="266" t="s">
        <v>70</v>
      </c>
      <c r="C34" s="413" t="s">
        <v>78</v>
      </c>
      <c r="D34" s="776">
        <v>1410500</v>
      </c>
      <c r="E34" s="522">
        <v>143000</v>
      </c>
      <c r="F34" s="522">
        <v>143000</v>
      </c>
      <c r="G34" s="522">
        <v>143000</v>
      </c>
      <c r="H34" s="522">
        <v>143000</v>
      </c>
      <c r="I34" s="522">
        <v>143000</v>
      </c>
      <c r="J34" s="522">
        <v>143000</v>
      </c>
      <c r="K34" s="522">
        <v>143000</v>
      </c>
      <c r="L34" s="522">
        <v>143000</v>
      </c>
      <c r="M34" s="522">
        <v>143000</v>
      </c>
      <c r="N34" s="522">
        <v>143000</v>
      </c>
      <c r="O34" s="522">
        <v>143000</v>
      </c>
      <c r="P34" s="522">
        <v>143000</v>
      </c>
      <c r="Q34" s="524">
        <f t="shared" si="4"/>
        <v>1716000</v>
      </c>
      <c r="R34" s="522">
        <v>343200</v>
      </c>
      <c r="S34" s="522">
        <v>69600</v>
      </c>
      <c r="T34" s="522"/>
      <c r="U34" s="522"/>
      <c r="V34" s="522"/>
      <c r="W34" s="522"/>
      <c r="X34" s="655"/>
      <c r="Y34" s="657">
        <f t="shared" si="3"/>
        <v>2128800</v>
      </c>
      <c r="Z34" s="773">
        <v>150000</v>
      </c>
      <c r="AA34" s="786"/>
    </row>
    <row r="35" spans="1:27" s="267" customFormat="1" ht="15">
      <c r="A35" s="774" t="s">
        <v>741</v>
      </c>
      <c r="B35" s="990" t="s">
        <v>266</v>
      </c>
      <c r="C35" s="413" t="s">
        <v>78</v>
      </c>
      <c r="D35" s="776"/>
      <c r="E35" s="522"/>
      <c r="F35" s="522"/>
      <c r="G35" s="522">
        <v>123700</v>
      </c>
      <c r="H35" s="522">
        <v>123700</v>
      </c>
      <c r="I35" s="522">
        <v>123700</v>
      </c>
      <c r="J35" s="522">
        <v>123700</v>
      </c>
      <c r="K35" s="522">
        <v>123700</v>
      </c>
      <c r="L35" s="522">
        <v>123700</v>
      </c>
      <c r="M35" s="522">
        <v>123700</v>
      </c>
      <c r="N35" s="522">
        <v>123700</v>
      </c>
      <c r="O35" s="522">
        <v>123700</v>
      </c>
      <c r="P35" s="522">
        <v>123700</v>
      </c>
      <c r="Q35" s="524">
        <f t="shared" si="4"/>
        <v>1237000</v>
      </c>
      <c r="R35" s="522"/>
      <c r="S35" s="522">
        <v>556600</v>
      </c>
      <c r="T35" s="522"/>
      <c r="U35" s="522"/>
      <c r="V35" s="522"/>
      <c r="W35" s="522"/>
      <c r="X35" s="655"/>
      <c r="Y35" s="657">
        <f t="shared" si="3"/>
        <v>1793600</v>
      </c>
      <c r="Z35" s="773">
        <v>150000</v>
      </c>
      <c r="AA35" s="786"/>
    </row>
    <row r="36" spans="1:27" ht="15">
      <c r="A36" s="774" t="s">
        <v>742</v>
      </c>
      <c r="B36" s="266" t="s">
        <v>1476</v>
      </c>
      <c r="C36" s="413" t="s">
        <v>71</v>
      </c>
      <c r="D36" s="776">
        <v>1421000</v>
      </c>
      <c r="E36" s="522">
        <v>108000</v>
      </c>
      <c r="F36" s="522">
        <v>114000</v>
      </c>
      <c r="G36" s="522">
        <v>114000</v>
      </c>
      <c r="H36" s="522">
        <v>114000</v>
      </c>
      <c r="I36" s="522">
        <v>114000</v>
      </c>
      <c r="J36" s="522">
        <v>114000</v>
      </c>
      <c r="K36" s="522">
        <v>114000</v>
      </c>
      <c r="L36" s="522">
        <v>114000</v>
      </c>
      <c r="M36" s="522">
        <v>114000</v>
      </c>
      <c r="N36" s="522">
        <v>114000</v>
      </c>
      <c r="O36" s="522">
        <v>114000</v>
      </c>
      <c r="P36" s="522">
        <v>114000</v>
      </c>
      <c r="Q36" s="524">
        <f t="shared" si="4"/>
        <v>1362000</v>
      </c>
      <c r="R36" s="522"/>
      <c r="S36" s="522"/>
      <c r="T36" s="522"/>
      <c r="U36" s="522"/>
      <c r="V36" s="522"/>
      <c r="W36" s="522"/>
      <c r="X36" s="655"/>
      <c r="Y36" s="657">
        <f t="shared" si="3"/>
        <v>1362000</v>
      </c>
      <c r="Z36" s="773">
        <v>150000</v>
      </c>
      <c r="AA36" s="786"/>
    </row>
    <row r="37" spans="1:27" ht="15">
      <c r="A37" s="774" t="s">
        <v>1301</v>
      </c>
      <c r="B37" s="990" t="s">
        <v>1300</v>
      </c>
      <c r="C37" s="1060" t="s">
        <v>1300</v>
      </c>
      <c r="D37" s="776"/>
      <c r="E37" s="522"/>
      <c r="F37" s="522"/>
      <c r="G37" s="522"/>
      <c r="H37" s="522">
        <v>120000</v>
      </c>
      <c r="I37" s="522">
        <v>120000</v>
      </c>
      <c r="J37" s="522">
        <v>120000</v>
      </c>
      <c r="K37" s="522">
        <v>120000</v>
      </c>
      <c r="L37" s="522">
        <v>120000</v>
      </c>
      <c r="M37" s="522">
        <v>120000</v>
      </c>
      <c r="N37" s="522">
        <v>120000</v>
      </c>
      <c r="O37" s="522">
        <v>120000</v>
      </c>
      <c r="P37" s="522">
        <v>120000</v>
      </c>
      <c r="Q37" s="524">
        <f t="shared" si="4"/>
        <v>1080000</v>
      </c>
      <c r="R37" s="522"/>
      <c r="S37" s="522"/>
      <c r="T37" s="522"/>
      <c r="U37" s="522"/>
      <c r="V37" s="522"/>
      <c r="W37" s="522"/>
      <c r="X37" s="655"/>
      <c r="Y37" s="1036"/>
      <c r="Z37" s="773"/>
      <c r="AA37" s="786"/>
    </row>
    <row r="38" spans="1:27" ht="15">
      <c r="A38" s="774"/>
      <c r="B38" s="525" t="s">
        <v>129</v>
      </c>
      <c r="C38" s="413"/>
      <c r="D38" s="535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4">
        <f aca="true" t="shared" si="5" ref="Q38:Z38">SUM(Q2:Q36)</f>
        <v>71497800</v>
      </c>
      <c r="R38" s="524">
        <f t="shared" si="5"/>
        <v>1462500</v>
      </c>
      <c r="S38" s="524">
        <f t="shared" si="5"/>
        <v>4615100</v>
      </c>
      <c r="T38" s="524">
        <f t="shared" si="5"/>
        <v>0</v>
      </c>
      <c r="U38" s="524">
        <f t="shared" si="5"/>
        <v>173700</v>
      </c>
      <c r="V38" s="524">
        <f t="shared" si="5"/>
        <v>0</v>
      </c>
      <c r="W38" s="524">
        <f t="shared" si="5"/>
        <v>2000000</v>
      </c>
      <c r="X38" s="524">
        <f t="shared" si="5"/>
        <v>0</v>
      </c>
      <c r="Y38" s="524">
        <f t="shared" si="5"/>
        <v>79749100</v>
      </c>
      <c r="Z38" s="524">
        <f t="shared" si="5"/>
        <v>5250000</v>
      </c>
      <c r="AA38" s="773"/>
    </row>
    <row r="39" spans="1:27" ht="15">
      <c r="A39" s="1034" t="s">
        <v>779</v>
      </c>
      <c r="B39" s="266" t="s">
        <v>733</v>
      </c>
      <c r="C39" s="413"/>
      <c r="D39" s="535"/>
      <c r="E39" s="522">
        <v>105000</v>
      </c>
      <c r="F39" s="522">
        <v>105000</v>
      </c>
      <c r="G39" s="522">
        <v>105000</v>
      </c>
      <c r="H39" s="522">
        <v>105000</v>
      </c>
      <c r="I39" s="522">
        <v>105000</v>
      </c>
      <c r="J39" s="522">
        <v>105000</v>
      </c>
      <c r="K39" s="522">
        <v>105000</v>
      </c>
      <c r="L39" s="522">
        <v>105000</v>
      </c>
      <c r="M39" s="522">
        <v>105000</v>
      </c>
      <c r="N39" s="522">
        <v>105000</v>
      </c>
      <c r="O39" s="522">
        <v>105000</v>
      </c>
      <c r="P39" s="522">
        <v>105000</v>
      </c>
      <c r="Q39" s="524">
        <f>SUBTOTAL(9,E39:P39)</f>
        <v>1260000</v>
      </c>
      <c r="R39" s="524"/>
      <c r="S39" s="524"/>
      <c r="T39" s="524"/>
      <c r="U39" s="524"/>
      <c r="V39" s="524"/>
      <c r="W39" s="524"/>
      <c r="X39" s="781"/>
      <c r="Y39" s="657">
        <f aca="true" t="shared" si="6" ref="Y39:Y47">+Q39+R39+S39+T39+U39+V39+W39+X39</f>
        <v>1260000</v>
      </c>
      <c r="Z39" s="524"/>
      <c r="AA39" s="773"/>
    </row>
    <row r="40" spans="1:27" ht="15">
      <c r="A40" s="1034" t="s">
        <v>780</v>
      </c>
      <c r="B40" s="266" t="s">
        <v>736</v>
      </c>
      <c r="C40" s="413"/>
      <c r="D40" s="535"/>
      <c r="E40" s="522">
        <v>160000</v>
      </c>
      <c r="F40" s="522">
        <v>160000</v>
      </c>
      <c r="G40" s="522">
        <v>160000</v>
      </c>
      <c r="H40" s="522">
        <v>160000</v>
      </c>
      <c r="I40" s="522">
        <v>160000</v>
      </c>
      <c r="J40" s="522">
        <v>160000</v>
      </c>
      <c r="K40" s="522">
        <v>160000</v>
      </c>
      <c r="L40" s="522">
        <v>160000</v>
      </c>
      <c r="M40" s="522">
        <v>160000</v>
      </c>
      <c r="N40" s="522">
        <v>160000</v>
      </c>
      <c r="O40" s="522">
        <v>160000</v>
      </c>
      <c r="P40" s="522">
        <v>160000</v>
      </c>
      <c r="Q40" s="524">
        <f>SUBTOTAL(9,E40:P40)</f>
        <v>1920000</v>
      </c>
      <c r="R40" s="524"/>
      <c r="S40" s="524"/>
      <c r="T40" s="524"/>
      <c r="U40" s="524"/>
      <c r="V40" s="524"/>
      <c r="W40" s="524"/>
      <c r="X40" s="781"/>
      <c r="Y40" s="657">
        <f t="shared" si="6"/>
        <v>1920000</v>
      </c>
      <c r="Z40" s="524"/>
      <c r="AA40" s="773"/>
    </row>
    <row r="41" spans="1:27" ht="15">
      <c r="A41" s="1034" t="s">
        <v>781</v>
      </c>
      <c r="B41" s="990" t="s">
        <v>732</v>
      </c>
      <c r="C41" s="413"/>
      <c r="D41" s="535"/>
      <c r="E41" s="522">
        <v>120000</v>
      </c>
      <c r="F41" s="522">
        <v>120000</v>
      </c>
      <c r="G41" s="522">
        <v>120000</v>
      </c>
      <c r="H41" s="522">
        <v>120000</v>
      </c>
      <c r="I41" s="522">
        <v>120000</v>
      </c>
      <c r="J41" s="522">
        <v>120000</v>
      </c>
      <c r="K41" s="522">
        <v>120000</v>
      </c>
      <c r="L41" s="522">
        <v>120000</v>
      </c>
      <c r="M41" s="522">
        <v>120000</v>
      </c>
      <c r="N41" s="522">
        <v>120000</v>
      </c>
      <c r="O41" s="522">
        <v>120000</v>
      </c>
      <c r="P41" s="522">
        <v>120000</v>
      </c>
      <c r="Q41" s="524">
        <f>SUBTOTAL(9,E41:P41)</f>
        <v>1440000</v>
      </c>
      <c r="R41" s="524"/>
      <c r="S41" s="524"/>
      <c r="T41" s="524"/>
      <c r="U41" s="524"/>
      <c r="V41" s="524"/>
      <c r="W41" s="524"/>
      <c r="X41" s="781"/>
      <c r="Y41" s="657">
        <f t="shared" si="6"/>
        <v>1440000</v>
      </c>
      <c r="Z41" s="524"/>
      <c r="AA41" s="773"/>
    </row>
    <row r="42" spans="1:27" ht="15">
      <c r="A42" s="1034" t="s">
        <v>1054</v>
      </c>
      <c r="B42" s="792" t="s">
        <v>124</v>
      </c>
      <c r="C42" s="793"/>
      <c r="D42" s="794" t="s">
        <v>461</v>
      </c>
      <c r="E42" s="795">
        <v>160000</v>
      </c>
      <c r="F42" s="795">
        <v>160000</v>
      </c>
      <c r="G42" s="795">
        <v>160000</v>
      </c>
      <c r="H42" s="795">
        <v>160000</v>
      </c>
      <c r="I42" s="795">
        <v>160000</v>
      </c>
      <c r="J42" s="795">
        <v>160000</v>
      </c>
      <c r="K42" s="795">
        <v>160000</v>
      </c>
      <c r="L42" s="795">
        <v>160000</v>
      </c>
      <c r="M42" s="795">
        <v>160000</v>
      </c>
      <c r="N42" s="795">
        <v>160000</v>
      </c>
      <c r="O42" s="795">
        <v>160000</v>
      </c>
      <c r="P42" s="795">
        <v>160000</v>
      </c>
      <c r="Q42" s="524">
        <f>SUBTOTAL(9,E42:P42)</f>
        <v>1920000</v>
      </c>
      <c r="R42" s="795"/>
      <c r="S42" s="772"/>
      <c r="T42" s="795"/>
      <c r="U42" s="795"/>
      <c r="V42" s="795"/>
      <c r="W42" s="795"/>
      <c r="X42" s="798"/>
      <c r="Y42" s="657">
        <f t="shared" si="6"/>
        <v>1920000</v>
      </c>
      <c r="Z42" s="773">
        <v>150000</v>
      </c>
      <c r="AA42" s="788"/>
    </row>
    <row r="43" spans="1:27" ht="15">
      <c r="A43" s="774"/>
      <c r="B43" s="796" t="s">
        <v>146</v>
      </c>
      <c r="C43" s="793"/>
      <c r="D43" s="797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524">
        <f>SUM(Q39:Q42)</f>
        <v>6540000</v>
      </c>
      <c r="R43" s="795">
        <f aca="true" t="shared" si="7" ref="R43:X43">SUM(R42)</f>
        <v>0</v>
      </c>
      <c r="S43" s="795">
        <f t="shared" si="7"/>
        <v>0</v>
      </c>
      <c r="T43" s="795">
        <f t="shared" si="7"/>
        <v>0</v>
      </c>
      <c r="U43" s="795">
        <f t="shared" si="7"/>
        <v>0</v>
      </c>
      <c r="V43" s="795">
        <f t="shared" si="7"/>
        <v>0</v>
      </c>
      <c r="W43" s="795">
        <f t="shared" si="7"/>
        <v>0</v>
      </c>
      <c r="X43" s="795">
        <f t="shared" si="7"/>
        <v>0</v>
      </c>
      <c r="Y43" s="657">
        <f t="shared" si="6"/>
        <v>6540000</v>
      </c>
      <c r="Z43" s="934">
        <f>SUM(Z42)</f>
        <v>150000</v>
      </c>
      <c r="AA43" s="773"/>
    </row>
    <row r="44" spans="1:27" ht="15">
      <c r="A44" s="774"/>
      <c r="B44" s="792" t="s">
        <v>123</v>
      </c>
      <c r="C44" s="793"/>
      <c r="D44" s="797"/>
      <c r="E44" s="795">
        <v>174000</v>
      </c>
      <c r="F44" s="795">
        <v>174000</v>
      </c>
      <c r="G44" s="795">
        <v>174000</v>
      </c>
      <c r="H44" s="795">
        <v>174000</v>
      </c>
      <c r="I44" s="795">
        <v>174000</v>
      </c>
      <c r="J44" s="795">
        <v>174000</v>
      </c>
      <c r="K44" s="795">
        <v>174000</v>
      </c>
      <c r="L44" s="795">
        <v>174000</v>
      </c>
      <c r="M44" s="795">
        <v>174000</v>
      </c>
      <c r="N44" s="795">
        <v>174000</v>
      </c>
      <c r="O44" s="795">
        <v>174000</v>
      </c>
      <c r="P44" s="795">
        <v>174000</v>
      </c>
      <c r="Q44" s="524">
        <f>SUBTOTAL(9,E44:P44)</f>
        <v>2088000</v>
      </c>
      <c r="R44" s="795"/>
      <c r="S44" s="772"/>
      <c r="T44" s="795"/>
      <c r="U44" s="795"/>
      <c r="V44" s="795"/>
      <c r="W44" s="795"/>
      <c r="X44" s="798"/>
      <c r="Y44" s="657">
        <f t="shared" si="6"/>
        <v>2088000</v>
      </c>
      <c r="Z44" s="773"/>
      <c r="AA44" s="773"/>
    </row>
    <row r="45" spans="1:27" ht="15">
      <c r="A45" s="774"/>
      <c r="B45" s="792" t="s">
        <v>1004</v>
      </c>
      <c r="C45" s="793"/>
      <c r="D45" s="935" t="s">
        <v>143</v>
      </c>
      <c r="E45" s="795">
        <v>130690</v>
      </c>
      <c r="F45" s="795">
        <v>130690</v>
      </c>
      <c r="G45" s="795">
        <v>130690</v>
      </c>
      <c r="H45" s="795">
        <v>130690</v>
      </c>
      <c r="I45" s="795">
        <v>130690</v>
      </c>
      <c r="J45" s="795">
        <v>130690</v>
      </c>
      <c r="K45" s="795">
        <v>130690</v>
      </c>
      <c r="L45" s="795">
        <v>130690</v>
      </c>
      <c r="M45" s="795">
        <v>130690</v>
      </c>
      <c r="N45" s="795">
        <v>130690</v>
      </c>
      <c r="O45" s="795">
        <v>130690</v>
      </c>
      <c r="P45" s="795">
        <v>130690</v>
      </c>
      <c r="Q45" s="524">
        <f>SUBTOTAL(9,E45:P45)</f>
        <v>1568280</v>
      </c>
      <c r="R45" s="795"/>
      <c r="S45" s="772"/>
      <c r="T45" s="795"/>
      <c r="U45" s="795"/>
      <c r="V45" s="795"/>
      <c r="W45" s="795"/>
      <c r="X45" s="798"/>
      <c r="Y45" s="657">
        <f t="shared" si="6"/>
        <v>1568280</v>
      </c>
      <c r="Z45" s="773">
        <f>150000*0.3</f>
        <v>45000</v>
      </c>
      <c r="AA45" s="936"/>
    </row>
    <row r="46" spans="1:27" ht="15">
      <c r="A46" s="774"/>
      <c r="B46" s="792"/>
      <c r="C46" s="793"/>
      <c r="D46" s="797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524"/>
      <c r="R46" s="795"/>
      <c r="S46" s="772"/>
      <c r="T46" s="795"/>
      <c r="U46" s="795"/>
      <c r="V46" s="795"/>
      <c r="W46" s="795"/>
      <c r="X46" s="798"/>
      <c r="Y46" s="657">
        <f t="shared" si="6"/>
        <v>0</v>
      </c>
      <c r="Z46" s="773"/>
      <c r="AA46" s="773"/>
    </row>
    <row r="47" spans="2:27" ht="15">
      <c r="B47" s="796" t="s">
        <v>147</v>
      </c>
      <c r="C47" s="793"/>
      <c r="D47" s="797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524">
        <f aca="true" t="shared" si="8" ref="Q47:X47">SUM(Q44:Q46)</f>
        <v>3656280</v>
      </c>
      <c r="R47" s="795">
        <f t="shared" si="8"/>
        <v>0</v>
      </c>
      <c r="S47" s="795">
        <f t="shared" si="8"/>
        <v>0</v>
      </c>
      <c r="T47" s="795">
        <f t="shared" si="8"/>
        <v>0</v>
      </c>
      <c r="U47" s="795">
        <f t="shared" si="8"/>
        <v>0</v>
      </c>
      <c r="V47" s="795">
        <f t="shared" si="8"/>
        <v>0</v>
      </c>
      <c r="W47" s="795">
        <f t="shared" si="8"/>
        <v>0</v>
      </c>
      <c r="X47" s="795">
        <f t="shared" si="8"/>
        <v>0</v>
      </c>
      <c r="Y47" s="657">
        <f t="shared" si="6"/>
        <v>3656280</v>
      </c>
      <c r="Z47" s="773">
        <f>SUM(Z44:Z46)</f>
        <v>45000</v>
      </c>
      <c r="AA47" s="773"/>
    </row>
    <row r="48" spans="2:27" ht="15">
      <c r="B48" s="937"/>
      <c r="C48" s="938"/>
      <c r="D48" s="939"/>
      <c r="E48" s="940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8"/>
      <c r="Q48" s="940"/>
      <c r="R48" s="938"/>
      <c r="S48" s="941"/>
      <c r="T48" s="938"/>
      <c r="U48" s="938"/>
      <c r="V48" s="938"/>
      <c r="W48" s="938"/>
      <c r="X48" s="938"/>
      <c r="Y48" s="938"/>
      <c r="Z48" s="785"/>
      <c r="AA48" s="785"/>
    </row>
    <row r="49" spans="2:27" ht="15">
      <c r="B49" s="937"/>
      <c r="C49" s="938"/>
      <c r="D49" s="939"/>
      <c r="E49" s="940"/>
      <c r="F49" s="938"/>
      <c r="G49" s="938"/>
      <c r="H49" s="938"/>
      <c r="I49" s="938"/>
      <c r="J49" s="938"/>
      <c r="K49" s="938"/>
      <c r="L49" s="938"/>
      <c r="M49" s="938"/>
      <c r="N49" s="938"/>
      <c r="O49" s="938"/>
      <c r="P49" s="938"/>
      <c r="Q49" s="940"/>
      <c r="R49" s="938"/>
      <c r="S49" s="941"/>
      <c r="T49" s="938"/>
      <c r="U49" s="938"/>
      <c r="V49" s="938"/>
      <c r="W49" s="942" t="s">
        <v>469</v>
      </c>
      <c r="X49" s="943" t="e">
        <f>#REF!+#REF!+#REF!+#REF!+#REF!+#REF!+#REF!+#REF!+#REF!+#REF!+#REF!+Y31+#REF!+#REF!+#REF!+#REF!+#REF!</f>
        <v>#REF!</v>
      </c>
      <c r="Y49" s="943" t="e">
        <f>Y38+Y43+#REF!+Y47</f>
        <v>#REF!</v>
      </c>
      <c r="Z49" s="943" t="e">
        <f>Z38+Z43+#REF!+Z47+#REF!</f>
        <v>#REF!</v>
      </c>
      <c r="AA49" s="944"/>
    </row>
    <row r="50" spans="2:27" ht="15">
      <c r="B50" s="937"/>
      <c r="C50" s="938"/>
      <c r="D50" s="939"/>
      <c r="E50" s="940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40"/>
      <c r="R50" s="938"/>
      <c r="S50" s="941"/>
      <c r="T50" s="938"/>
      <c r="U50" s="938"/>
      <c r="V50" s="938"/>
      <c r="W50" s="938"/>
      <c r="X50" s="938"/>
      <c r="Y50" s="943" t="e">
        <f>ROUND(Y49,-3)/1000</f>
        <v>#REF!</v>
      </c>
      <c r="Z50" s="943" t="e">
        <f>ROUND(Z49,-3)/1000</f>
        <v>#REF!</v>
      </c>
      <c r="AA50" s="785"/>
    </row>
  </sheetData>
  <sheetProtection/>
  <autoFilter ref="B1:C47"/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23" max="5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49"/>
  <sheetViews>
    <sheetView view="pageBreakPreview" zoomScaleNormal="90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94" t="s">
        <v>137</v>
      </c>
    </row>
    <row r="2" ht="18">
      <c r="B2" s="347" t="s">
        <v>378</v>
      </c>
    </row>
    <row r="4" spans="1:5" ht="15">
      <c r="A4" s="1368" t="s">
        <v>163</v>
      </c>
      <c r="B4" s="1368"/>
      <c r="C4" s="1368"/>
      <c r="D4" s="1368"/>
      <c r="E4" s="1368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1217" t="s">
        <v>27</v>
      </c>
      <c r="B6" s="1217"/>
      <c r="C6" s="1217"/>
      <c r="D6" s="1217"/>
      <c r="E6" s="1217"/>
    </row>
    <row r="7" spans="1:5" ht="12.75">
      <c r="A7" s="1217"/>
      <c r="B7" s="1217"/>
      <c r="C7" s="1217"/>
      <c r="D7" s="1217"/>
      <c r="E7" s="1217"/>
    </row>
    <row r="8" spans="1:5" ht="12.75">
      <c r="A8" s="41"/>
      <c r="C8" s="8"/>
      <c r="D8" s="8" t="s">
        <v>28</v>
      </c>
      <c r="E8" s="8" t="s">
        <v>29</v>
      </c>
    </row>
    <row r="9" spans="1:5" ht="12.75">
      <c r="A9" s="41"/>
      <c r="C9" s="8"/>
      <c r="D9" s="8"/>
      <c r="E9" s="8"/>
    </row>
    <row r="10" spans="1:5" ht="12.75">
      <c r="A10" s="25" t="s">
        <v>1478</v>
      </c>
      <c r="B10" s="25" t="s">
        <v>1026</v>
      </c>
      <c r="C10" s="33"/>
      <c r="D10" s="33"/>
      <c r="E10" s="33"/>
    </row>
    <row r="11" spans="1:5" ht="12.75">
      <c r="A11" s="14">
        <v>511111</v>
      </c>
      <c r="B11" s="14" t="s">
        <v>30</v>
      </c>
      <c r="C11" s="15">
        <f>Bérek2013!Q34+Bérek2013!Q35</f>
        <v>2953000</v>
      </c>
      <c r="D11" s="15"/>
      <c r="E11" s="15">
        <f>ROUND(C11,-3)/1000</f>
        <v>2953</v>
      </c>
    </row>
    <row r="12" spans="1:5" ht="12.75">
      <c r="A12" s="14">
        <v>511121</v>
      </c>
      <c r="B12" s="14" t="s">
        <v>31</v>
      </c>
      <c r="C12" s="15">
        <f>Bérek2013!R34+Bérek2013!R35</f>
        <v>343200</v>
      </c>
      <c r="D12" s="15"/>
      <c r="E12" s="15">
        <f>ROUND(C12,-3)/1000</f>
        <v>343</v>
      </c>
    </row>
    <row r="13" spans="1:5" ht="12.75">
      <c r="A13" s="14">
        <v>511131</v>
      </c>
      <c r="B13" s="14" t="s">
        <v>33</v>
      </c>
      <c r="C13" s="15">
        <f>Bérek2013!S34+Bérek2013!S35</f>
        <v>626200</v>
      </c>
      <c r="D13" s="15"/>
      <c r="E13" s="15">
        <f>ROUND(C13,-3)/1000</f>
        <v>626</v>
      </c>
    </row>
    <row r="14" spans="1:5" s="10" customFormat="1" ht="13.5" customHeight="1">
      <c r="A14" s="14">
        <v>51114212</v>
      </c>
      <c r="B14" s="42" t="s">
        <v>1457</v>
      </c>
      <c r="C14" s="15">
        <v>0</v>
      </c>
      <c r="D14" s="342"/>
      <c r="E14" s="15">
        <f>ROUND(C14,-3)/1000</f>
        <v>0</v>
      </c>
    </row>
    <row r="15" spans="1:5" ht="12.75">
      <c r="A15" s="540">
        <v>511</v>
      </c>
      <c r="B15" s="541" t="s">
        <v>1215</v>
      </c>
      <c r="C15" s="35">
        <f>SUM(C11:C14)</f>
        <v>3922400</v>
      </c>
      <c r="D15" s="35"/>
      <c r="E15" s="35">
        <f>ROUND(C15,-3)/1000</f>
        <v>3922</v>
      </c>
    </row>
    <row r="16" spans="1:5" s="10" customFormat="1" ht="14.25" customHeight="1">
      <c r="A16" s="540">
        <v>512</v>
      </c>
      <c r="B16" s="541" t="s">
        <v>95</v>
      </c>
      <c r="C16" s="445">
        <v>0</v>
      </c>
      <c r="D16" s="445"/>
      <c r="E16" s="445">
        <v>0</v>
      </c>
    </row>
    <row r="17" spans="1:5" s="10" customFormat="1" ht="14.25" customHeight="1">
      <c r="A17" s="461">
        <v>51311</v>
      </c>
      <c r="B17" s="14" t="s">
        <v>1003</v>
      </c>
      <c r="C17" s="15">
        <v>0</v>
      </c>
      <c r="D17" s="15"/>
      <c r="E17" s="15">
        <f>+ROUND(C17,-3)/1000</f>
        <v>0</v>
      </c>
    </row>
    <row r="18" spans="1:5" s="10" customFormat="1" ht="14.25" customHeight="1">
      <c r="A18" s="461">
        <v>51312</v>
      </c>
      <c r="B18" s="14" t="s">
        <v>393</v>
      </c>
      <c r="C18" s="15">
        <v>0</v>
      </c>
      <c r="D18" s="15"/>
      <c r="E18" s="15">
        <f>+ROUND(C18,-3)/1000</f>
        <v>0</v>
      </c>
    </row>
    <row r="19" spans="1:5" ht="12.75">
      <c r="A19" s="14">
        <v>513131</v>
      </c>
      <c r="B19" s="14" t="s">
        <v>35</v>
      </c>
      <c r="C19" s="15">
        <v>0</v>
      </c>
      <c r="D19" s="15"/>
      <c r="E19" s="18">
        <v>0</v>
      </c>
    </row>
    <row r="20" spans="1:5" ht="12.75">
      <c r="A20" s="14">
        <v>513191</v>
      </c>
      <c r="B20" s="14" t="s">
        <v>37</v>
      </c>
      <c r="C20" s="15">
        <v>0</v>
      </c>
      <c r="D20" s="15"/>
      <c r="E20" s="15"/>
    </row>
    <row r="21" spans="1:5" ht="12.75">
      <c r="A21" s="50"/>
      <c r="B21" s="448" t="s">
        <v>36</v>
      </c>
      <c r="C21" s="43"/>
      <c r="D21" s="43"/>
      <c r="E21" s="15">
        <f>ROUND(C21,-3)/1000</f>
        <v>0</v>
      </c>
    </row>
    <row r="22" spans="1:5" ht="12.75">
      <c r="A22" s="540">
        <v>513</v>
      </c>
      <c r="B22" s="541" t="s">
        <v>788</v>
      </c>
      <c r="C22" s="445"/>
      <c r="D22" s="445"/>
      <c r="E22" s="445">
        <f>SUM(E17:E20)</f>
        <v>0</v>
      </c>
    </row>
    <row r="23" spans="1:5" ht="12.75">
      <c r="A23" s="14">
        <v>514131</v>
      </c>
      <c r="B23" s="14" t="s">
        <v>39</v>
      </c>
      <c r="C23" s="15">
        <f>56*9*20*12</f>
        <v>120960</v>
      </c>
      <c r="D23" s="15"/>
      <c r="E23" s="15">
        <f>ROUND(C23,-3)/1000</f>
        <v>121</v>
      </c>
    </row>
    <row r="24" spans="1:5" ht="12.75">
      <c r="A24" s="14">
        <v>514141</v>
      </c>
      <c r="B24" s="14" t="s">
        <v>40</v>
      </c>
      <c r="C24" s="15">
        <f>Bérek2013!Z34</f>
        <v>150000</v>
      </c>
      <c r="D24" s="15"/>
      <c r="E24" s="18">
        <f>+ROUND(C24,-3)/1000</f>
        <v>150</v>
      </c>
    </row>
    <row r="25" spans="1:5" ht="13.5" thickBot="1">
      <c r="A25" s="542">
        <v>514</v>
      </c>
      <c r="B25" s="543" t="s">
        <v>94</v>
      </c>
      <c r="C25" s="544"/>
      <c r="D25" s="544"/>
      <c r="E25" s="544">
        <f>SUM(E23:E24)</f>
        <v>271</v>
      </c>
    </row>
    <row r="26" spans="1:5" ht="16.5" thickBot="1">
      <c r="A26" s="1365" t="s">
        <v>1484</v>
      </c>
      <c r="B26" s="1366"/>
      <c r="C26" s="1366"/>
      <c r="D26" s="1366"/>
      <c r="E26" s="443">
        <f>+E15+E16+E22+E25</f>
        <v>4193</v>
      </c>
    </row>
    <row r="27" spans="1:5" ht="12.75">
      <c r="A27" s="65"/>
      <c r="B27" s="65"/>
      <c r="C27" s="66"/>
      <c r="D27" s="66"/>
      <c r="E27" s="66"/>
    </row>
    <row r="28" spans="1:5" ht="12.75">
      <c r="A28" s="65"/>
      <c r="B28" s="65"/>
      <c r="C28" s="66"/>
      <c r="D28" s="66"/>
      <c r="E28" s="66"/>
    </row>
    <row r="29" spans="1:5" ht="12.75">
      <c r="A29" s="1215" t="s">
        <v>1485</v>
      </c>
      <c r="B29" s="1372"/>
      <c r="C29" s="1372"/>
      <c r="D29" s="1372"/>
      <c r="E29" s="1372"/>
    </row>
    <row r="30" spans="1:5" ht="13.5" thickBot="1">
      <c r="A30" s="449">
        <v>53112</v>
      </c>
      <c r="B30" s="449" t="s">
        <v>1198</v>
      </c>
      <c r="C30" s="453"/>
      <c r="D30" s="451"/>
      <c r="E30" s="450">
        <f>+(E15+E16+E17+E18+E19)*0.27</f>
        <v>1058.94</v>
      </c>
    </row>
    <row r="31" spans="1:5" ht="16.5" thickBot="1">
      <c r="A31" s="1365" t="s">
        <v>981</v>
      </c>
      <c r="B31" s="1366"/>
      <c r="C31" s="1366"/>
      <c r="D31" s="1366"/>
      <c r="E31" s="443">
        <f>+E30</f>
        <v>1058.94</v>
      </c>
    </row>
    <row r="32" spans="1:5" ht="12.75">
      <c r="A32" s="65"/>
      <c r="B32" s="65"/>
      <c r="C32" s="66"/>
      <c r="D32" s="66"/>
      <c r="E32" s="66"/>
    </row>
    <row r="33" spans="1:5" ht="12.75">
      <c r="A33" s="1217" t="s">
        <v>1487</v>
      </c>
      <c r="B33" s="1217"/>
      <c r="C33" s="1217"/>
      <c r="D33" s="1217"/>
      <c r="E33" s="1217"/>
    </row>
    <row r="34" spans="3:5" ht="12.75">
      <c r="C34" s="8"/>
      <c r="D34" s="8"/>
      <c r="E34" s="8"/>
    </row>
    <row r="35" spans="1:5" ht="12.75">
      <c r="A35" s="12">
        <v>56211</v>
      </c>
      <c r="B35" s="12" t="s">
        <v>995</v>
      </c>
      <c r="C35" s="12"/>
      <c r="D35" s="35"/>
      <c r="E35" s="803">
        <v>0</v>
      </c>
    </row>
    <row r="36" spans="1:5" s="13" customFormat="1" ht="12.75">
      <c r="A36" s="12">
        <v>57211</v>
      </c>
      <c r="B36" s="12" t="s">
        <v>1199</v>
      </c>
      <c r="C36" s="12"/>
      <c r="D36" s="35"/>
      <c r="E36" s="35">
        <f>E24*1.19*0.26</f>
        <v>46.410000000000004</v>
      </c>
    </row>
    <row r="37" spans="1:5" ht="13.5" thickBot="1">
      <c r="A37" s="449">
        <v>57213</v>
      </c>
      <c r="B37" s="449" t="s">
        <v>796</v>
      </c>
      <c r="C37" s="450"/>
      <c r="D37" s="450"/>
      <c r="E37" s="450">
        <f>+'rehabilitációs hj '!E17</f>
        <v>96</v>
      </c>
    </row>
    <row r="38" spans="1:5" ht="16.5" thickBot="1">
      <c r="A38" s="1365" t="s">
        <v>162</v>
      </c>
      <c r="B38" s="1366"/>
      <c r="C38" s="1366"/>
      <c r="D38" s="1366"/>
      <c r="E38" s="454">
        <f>+E37+E35+E36</f>
        <v>142.41</v>
      </c>
    </row>
    <row r="39" spans="1:5" ht="16.5" thickBot="1">
      <c r="A39" s="1373" t="s">
        <v>961</v>
      </c>
      <c r="B39" s="1374"/>
      <c r="C39" s="1374"/>
      <c r="D39" s="1374"/>
      <c r="E39" s="455">
        <f>E26+E31+E38</f>
        <v>5394.35</v>
      </c>
    </row>
    <row r="40" spans="1:5" s="456" customFormat="1" ht="15.75">
      <c r="A40" s="1040"/>
      <c r="B40" s="1040"/>
      <c r="C40" s="1040"/>
      <c r="D40" s="1040"/>
      <c r="E40" s="1041"/>
    </row>
    <row r="41" spans="1:5" s="456" customFormat="1" ht="15.75">
      <c r="A41" s="1042">
        <v>9111</v>
      </c>
      <c r="B41" s="1042" t="s">
        <v>556</v>
      </c>
      <c r="C41" s="1042"/>
      <c r="D41" s="1042"/>
      <c r="E41" s="1007">
        <v>500</v>
      </c>
    </row>
    <row r="42" spans="1:5" s="456" customFormat="1" ht="15.75">
      <c r="A42" s="1042"/>
      <c r="B42" s="1042"/>
      <c r="C42" s="1042"/>
      <c r="D42" s="1042"/>
      <c r="E42" s="1007"/>
    </row>
    <row r="43" spans="1:5" s="456" customFormat="1" ht="15.75">
      <c r="A43" s="1042" t="s">
        <v>557</v>
      </c>
      <c r="B43" s="1042"/>
      <c r="C43" s="1042"/>
      <c r="D43" s="1042"/>
      <c r="E43" s="1007">
        <f>E41</f>
        <v>500</v>
      </c>
    </row>
    <row r="44" spans="1:5" s="456" customFormat="1" ht="15.75">
      <c r="A44" s="1042"/>
      <c r="B44" s="1042"/>
      <c r="C44" s="1042"/>
      <c r="D44" s="1042"/>
      <c r="E44" s="1007"/>
    </row>
    <row r="45" spans="1:8" s="57" customFormat="1" ht="15">
      <c r="A45" s="1367" t="s">
        <v>963</v>
      </c>
      <c r="B45" s="1367"/>
      <c r="C45" s="1367"/>
      <c r="D45" s="1367"/>
      <c r="E45" s="1367"/>
      <c r="F45" s="72"/>
      <c r="G45" s="72"/>
      <c r="H45" s="72"/>
    </row>
    <row r="46" spans="1:8" s="57" customFormat="1" ht="15">
      <c r="A46" s="73"/>
      <c r="B46" s="73"/>
      <c r="C46" s="34"/>
      <c r="D46" s="34"/>
      <c r="E46" s="34"/>
      <c r="F46" s="34"/>
      <c r="G46" s="34"/>
      <c r="H46" s="34"/>
    </row>
    <row r="47" s="57" customFormat="1" ht="12.75"/>
    <row r="48" s="57" customFormat="1" ht="13.5" thickBot="1"/>
    <row r="49" spans="1:8" s="57" customFormat="1" ht="15.75" thickBot="1">
      <c r="A49" s="1369" t="s">
        <v>964</v>
      </c>
      <c r="B49" s="1370"/>
      <c r="C49" s="1370"/>
      <c r="D49" s="1370"/>
      <c r="E49" s="1371"/>
      <c r="F49" s="72"/>
      <c r="G49" s="72"/>
      <c r="H49" s="72"/>
    </row>
    <row r="50" s="57" customFormat="1" ht="12.75"/>
    <row r="51" s="57" customFormat="1" ht="12.75"/>
  </sheetData>
  <sheetProtection/>
  <mergeCells count="12">
    <mergeCell ref="A49:E49"/>
    <mergeCell ref="A26:D26"/>
    <mergeCell ref="A29:E29"/>
    <mergeCell ref="A39:D39"/>
    <mergeCell ref="A31:D31"/>
    <mergeCell ref="A33:E33"/>
    <mergeCell ref="A38:D38"/>
    <mergeCell ref="A45:E45"/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2"/>
  <sheetViews>
    <sheetView view="pageBreakPreview" zoomScaleNormal="90" zoomScaleSheetLayoutView="100" zoomScalePageLayoutView="0" workbookViewId="0" topLeftCell="J1">
      <selection activeCell="AD3" sqref="AD3"/>
    </sheetView>
  </sheetViews>
  <sheetFormatPr defaultColWidth="9.140625" defaultRowHeight="12.75"/>
  <cols>
    <col min="1" max="1" width="27.140625" style="156" customWidth="1"/>
    <col min="2" max="2" width="11.28125" style="157" customWidth="1"/>
    <col min="3" max="3" width="9.7109375" style="157" customWidth="1"/>
    <col min="4" max="4" width="10.57421875" style="157" customWidth="1"/>
    <col min="5" max="5" width="9.8515625" style="157" customWidth="1"/>
    <col min="6" max="6" width="10.421875" style="157" customWidth="1"/>
    <col min="7" max="7" width="10.140625" style="157" customWidth="1"/>
    <col min="8" max="8" width="9.7109375" style="157" customWidth="1"/>
    <col min="9" max="9" width="8.7109375" style="157" customWidth="1"/>
    <col min="10" max="10" width="11.8515625" style="157" customWidth="1"/>
    <col min="11" max="11" width="11.00390625" style="157" customWidth="1"/>
    <col min="12" max="12" width="10.8515625" style="157" customWidth="1"/>
    <col min="13" max="13" width="10.140625" style="157" customWidth="1"/>
    <col min="14" max="14" width="10.8515625" style="157" customWidth="1"/>
    <col min="15" max="15" width="10.57421875" style="157" customWidth="1"/>
    <col min="16" max="17" width="9.28125" style="157" customWidth="1"/>
    <col min="18" max="18" width="9.57421875" style="157" customWidth="1"/>
    <col min="19" max="19" width="8.7109375" style="157" customWidth="1"/>
    <col min="20" max="20" width="8.421875" style="157" customWidth="1"/>
    <col min="21" max="21" width="9.7109375" style="157" customWidth="1"/>
    <col min="22" max="22" width="7.00390625" style="157" customWidth="1"/>
    <col min="23" max="23" width="6.7109375" style="157" customWidth="1"/>
    <col min="24" max="24" width="6.140625" style="157" customWidth="1"/>
    <col min="25" max="25" width="7.00390625" style="157" customWidth="1"/>
    <col min="26" max="26" width="11.140625" style="157" customWidth="1"/>
    <col min="27" max="27" width="10.28125" style="157" customWidth="1"/>
    <col min="28" max="16384" width="9.140625" style="157" customWidth="1"/>
  </cols>
  <sheetData>
    <row r="1" spans="28:29" ht="12.75">
      <c r="AB1" s="1224" t="s">
        <v>544</v>
      </c>
      <c r="AC1" s="1224"/>
    </row>
    <row r="2" spans="1:26" ht="12.7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</row>
    <row r="3" spans="1:26" ht="39" customHeight="1">
      <c r="A3" s="1226" t="s">
        <v>1531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</row>
    <row r="4" spans="14:27" ht="12.75">
      <c r="N4" s="1246"/>
      <c r="O4" s="1246"/>
      <c r="P4" s="1246"/>
      <c r="Q4" s="1246"/>
      <c r="R4" s="1246"/>
      <c r="V4" s="1227" t="s">
        <v>161</v>
      </c>
      <c r="W4" s="1227"/>
      <c r="X4" s="1227"/>
      <c r="Y4" s="1227"/>
      <c r="Z4" s="1227"/>
      <c r="AA4" s="1227"/>
    </row>
    <row r="5" spans="1:29" ht="12.75" customHeight="1">
      <c r="A5" s="1228" t="s">
        <v>1021</v>
      </c>
      <c r="B5" s="1247" t="s">
        <v>145</v>
      </c>
      <c r="C5" s="1248"/>
      <c r="D5" s="1248"/>
      <c r="E5" s="1249"/>
      <c r="F5" s="1231" t="s">
        <v>1113</v>
      </c>
      <c r="G5" s="1232"/>
      <c r="H5" s="1232"/>
      <c r="I5" s="1233"/>
      <c r="J5" s="1231" t="s">
        <v>536</v>
      </c>
      <c r="K5" s="1232"/>
      <c r="L5" s="1232"/>
      <c r="M5" s="1233"/>
      <c r="N5" s="1256" t="s">
        <v>537</v>
      </c>
      <c r="O5" s="1257"/>
      <c r="P5" s="1257"/>
      <c r="Q5" s="1257"/>
      <c r="R5" s="1257"/>
      <c r="S5" s="1257"/>
      <c r="T5" s="1257"/>
      <c r="U5" s="1258"/>
      <c r="V5" s="1231" t="s">
        <v>1102</v>
      </c>
      <c r="W5" s="1232"/>
      <c r="X5" s="1232"/>
      <c r="Y5" s="1233"/>
      <c r="Z5" s="1231" t="s">
        <v>1025</v>
      </c>
      <c r="AA5" s="1232"/>
      <c r="AB5" s="1232"/>
      <c r="AC5" s="1233"/>
    </row>
    <row r="6" spans="1:29" ht="39" customHeight="1">
      <c r="A6" s="1229"/>
      <c r="B6" s="1250"/>
      <c r="C6" s="1251"/>
      <c r="D6" s="1251"/>
      <c r="E6" s="1252"/>
      <c r="F6" s="1234"/>
      <c r="G6" s="1235"/>
      <c r="H6" s="1235"/>
      <c r="I6" s="1236"/>
      <c r="J6" s="1234"/>
      <c r="K6" s="1235"/>
      <c r="L6" s="1235"/>
      <c r="M6" s="1236"/>
      <c r="N6" s="1253" t="s">
        <v>539</v>
      </c>
      <c r="O6" s="1254"/>
      <c r="P6" s="1254"/>
      <c r="Q6" s="1255"/>
      <c r="R6" s="1253" t="s">
        <v>1114</v>
      </c>
      <c r="S6" s="1254"/>
      <c r="T6" s="1254"/>
      <c r="U6" s="1255"/>
      <c r="V6" s="1234"/>
      <c r="W6" s="1235"/>
      <c r="X6" s="1235"/>
      <c r="Y6" s="1236"/>
      <c r="Z6" s="1234"/>
      <c r="AA6" s="1235"/>
      <c r="AB6" s="1235"/>
      <c r="AC6" s="1236"/>
    </row>
    <row r="7" spans="1:29" ht="12.75">
      <c r="A7" s="1230"/>
      <c r="B7" s="747" t="s">
        <v>1012</v>
      </c>
      <c r="C7" s="747" t="s">
        <v>1103</v>
      </c>
      <c r="D7" s="1116" t="s">
        <v>1528</v>
      </c>
      <c r="E7" s="1116" t="s">
        <v>1529</v>
      </c>
      <c r="F7" s="747" t="s">
        <v>1012</v>
      </c>
      <c r="G7" s="747" t="s">
        <v>1103</v>
      </c>
      <c r="H7" s="1116" t="s">
        <v>1528</v>
      </c>
      <c r="I7" s="1116" t="s">
        <v>1529</v>
      </c>
      <c r="J7" s="747" t="s">
        <v>1012</v>
      </c>
      <c r="K7" s="747" t="s">
        <v>1103</v>
      </c>
      <c r="L7" s="1116" t="s">
        <v>1528</v>
      </c>
      <c r="M7" s="1116" t="s">
        <v>1529</v>
      </c>
      <c r="N7" s="747" t="s">
        <v>1012</v>
      </c>
      <c r="O7" s="747" t="s">
        <v>1103</v>
      </c>
      <c r="P7" s="1116" t="s">
        <v>1528</v>
      </c>
      <c r="Q7" s="1116" t="s">
        <v>1529</v>
      </c>
      <c r="R7" s="747" t="s">
        <v>1012</v>
      </c>
      <c r="S7" s="747" t="s">
        <v>1103</v>
      </c>
      <c r="T7" s="1116" t="s">
        <v>1528</v>
      </c>
      <c r="U7" s="1116" t="s">
        <v>1529</v>
      </c>
      <c r="V7" s="747" t="s">
        <v>1012</v>
      </c>
      <c r="W7" s="747" t="s">
        <v>1103</v>
      </c>
      <c r="X7" s="747" t="s">
        <v>1528</v>
      </c>
      <c r="Y7" s="1116" t="s">
        <v>1529</v>
      </c>
      <c r="Z7" s="1122" t="s">
        <v>1012</v>
      </c>
      <c r="AA7" s="1122" t="s">
        <v>1103</v>
      </c>
      <c r="AB7" s="1123" t="s">
        <v>1528</v>
      </c>
      <c r="AC7" s="1102" t="s">
        <v>1529</v>
      </c>
    </row>
    <row r="8" spans="1:29" ht="12.75">
      <c r="A8" s="1237" t="s">
        <v>1115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38"/>
      <c r="U8" s="1238"/>
      <c r="V8" s="1238"/>
      <c r="W8" s="1238"/>
      <c r="X8" s="1238"/>
      <c r="Y8" s="1238"/>
      <c r="Z8" s="1238"/>
      <c r="AA8" s="1238"/>
      <c r="AB8" s="1238"/>
      <c r="AC8" s="1239"/>
    </row>
    <row r="9" spans="1:29" ht="6.75" customHeight="1">
      <c r="A9" s="1240"/>
      <c r="B9" s="1241"/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1"/>
      <c r="U9" s="1241"/>
      <c r="V9" s="1241"/>
      <c r="W9" s="1241"/>
      <c r="X9" s="1241"/>
      <c r="Y9" s="1241"/>
      <c r="Z9" s="1241"/>
      <c r="AA9" s="1241"/>
      <c r="AB9" s="1241"/>
      <c r="AC9" s="1242"/>
    </row>
    <row r="10" spans="1:29" ht="15.75" customHeight="1">
      <c r="A10" s="159" t="s">
        <v>667</v>
      </c>
      <c r="B10" s="160">
        <v>3246</v>
      </c>
      <c r="C10" s="160">
        <v>3246</v>
      </c>
      <c r="D10" s="160">
        <v>7458</v>
      </c>
      <c r="E10" s="1117">
        <f>D10/C10</f>
        <v>2.297597042513863</v>
      </c>
      <c r="F10" s="160">
        <v>0</v>
      </c>
      <c r="G10" s="160">
        <v>0</v>
      </c>
      <c r="H10" s="160"/>
      <c r="I10" s="160"/>
      <c r="J10" s="160">
        <v>0</v>
      </c>
      <c r="K10" s="160">
        <v>0</v>
      </c>
      <c r="L10" s="160">
        <v>0</v>
      </c>
      <c r="M10" s="160"/>
      <c r="N10" s="160"/>
      <c r="O10" s="160"/>
      <c r="P10" s="160">
        <v>1057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>
        <f aca="true" t="shared" si="0" ref="Z10:AB14">+B10+F10+J10+N10+R10+V10</f>
        <v>3246</v>
      </c>
      <c r="AA10" s="160">
        <f t="shared" si="0"/>
        <v>3246</v>
      </c>
      <c r="AB10" s="160">
        <f t="shared" si="0"/>
        <v>8515</v>
      </c>
      <c r="AC10" s="1119">
        <f>AB10/AA10</f>
        <v>2.6232285890326557</v>
      </c>
    </row>
    <row r="11" spans="1:29" s="158" customFormat="1" ht="12.75">
      <c r="A11" s="159" t="s">
        <v>1116</v>
      </c>
      <c r="B11" s="162">
        <f>SUM(B12:B14)</f>
        <v>1100</v>
      </c>
      <c r="C11" s="162">
        <f>SUM(C12:C14)</f>
        <v>1100</v>
      </c>
      <c r="D11" s="162">
        <f>SUM(D12:D14)</f>
        <v>244</v>
      </c>
      <c r="E11" s="1117">
        <f aca="true" t="shared" si="1" ref="E11:E18">D11/C11</f>
        <v>0.22181818181818183</v>
      </c>
      <c r="F11" s="162">
        <f aca="true" t="shared" si="2" ref="F11:V11">SUM(F12:F14)</f>
        <v>0</v>
      </c>
      <c r="G11" s="162">
        <f t="shared" si="2"/>
        <v>0</v>
      </c>
      <c r="H11" s="162">
        <f t="shared" si="2"/>
        <v>0</v>
      </c>
      <c r="I11" s="162"/>
      <c r="J11" s="162">
        <f t="shared" si="2"/>
        <v>0</v>
      </c>
      <c r="K11" s="162">
        <f t="shared" si="2"/>
        <v>0</v>
      </c>
      <c r="L11" s="162">
        <f t="shared" si="2"/>
        <v>0</v>
      </c>
      <c r="M11" s="162"/>
      <c r="N11" s="162">
        <f t="shared" si="2"/>
        <v>13147</v>
      </c>
      <c r="O11" s="162">
        <f t="shared" si="2"/>
        <v>13147</v>
      </c>
      <c r="P11" s="162">
        <f t="shared" si="2"/>
        <v>4618.994000000001</v>
      </c>
      <c r="Q11" s="1121">
        <f>P11/O11</f>
        <v>0.35133444892370885</v>
      </c>
      <c r="R11" s="162">
        <f t="shared" si="2"/>
        <v>0</v>
      </c>
      <c r="S11" s="162">
        <f t="shared" si="2"/>
        <v>0</v>
      </c>
      <c r="T11" s="162">
        <f t="shared" si="2"/>
        <v>0</v>
      </c>
      <c r="U11" s="162"/>
      <c r="V11" s="162">
        <f t="shared" si="2"/>
        <v>0</v>
      </c>
      <c r="W11" s="162">
        <f>W12+W14</f>
        <v>0</v>
      </c>
      <c r="X11" s="162">
        <f>X12+X14</f>
        <v>0</v>
      </c>
      <c r="Y11" s="162"/>
      <c r="Z11" s="160">
        <f t="shared" si="0"/>
        <v>14247</v>
      </c>
      <c r="AA11" s="160">
        <f t="shared" si="0"/>
        <v>14247</v>
      </c>
      <c r="AB11" s="160">
        <f t="shared" si="0"/>
        <v>4862.994000000001</v>
      </c>
      <c r="AC11" s="1119">
        <f aca="true" t="shared" si="3" ref="AC11:AC18">AB11/AA11</f>
        <v>0.34133459675721206</v>
      </c>
    </row>
    <row r="12" spans="1:29" ht="12.75">
      <c r="A12" s="163" t="s">
        <v>1117</v>
      </c>
      <c r="B12" s="164">
        <f>1000</f>
        <v>1000</v>
      </c>
      <c r="C12" s="164">
        <f>1000</f>
        <v>1000</v>
      </c>
      <c r="D12" s="164">
        <v>244</v>
      </c>
      <c r="E12" s="1117">
        <f t="shared" si="1"/>
        <v>0.244</v>
      </c>
      <c r="F12" s="164"/>
      <c r="G12" s="164"/>
      <c r="H12" s="164"/>
      <c r="I12" s="164"/>
      <c r="J12" s="164"/>
      <c r="K12" s="164"/>
      <c r="L12" s="164"/>
      <c r="M12" s="164"/>
      <c r="N12" s="699">
        <f>1084+1908+7455</f>
        <v>10447</v>
      </c>
      <c r="O12" s="699">
        <f>1084+1908+7455</f>
        <v>10447</v>
      </c>
      <c r="P12" s="699">
        <v>4269.805</v>
      </c>
      <c r="Q12" s="1121">
        <f aca="true" t="shared" si="4" ref="Q12:Q18">P12/O12</f>
        <v>0.40871111323825027</v>
      </c>
      <c r="R12" s="164"/>
      <c r="S12" s="164"/>
      <c r="T12" s="164"/>
      <c r="U12" s="164"/>
      <c r="V12" s="164"/>
      <c r="W12" s="164"/>
      <c r="X12" s="164"/>
      <c r="Y12" s="164"/>
      <c r="Z12" s="160">
        <f t="shared" si="0"/>
        <v>11447</v>
      </c>
      <c r="AA12" s="160">
        <f t="shared" si="0"/>
        <v>11447</v>
      </c>
      <c r="AB12" s="160">
        <f t="shared" si="0"/>
        <v>4513.805</v>
      </c>
      <c r="AC12" s="1119">
        <f t="shared" si="3"/>
        <v>0.39432209312483624</v>
      </c>
    </row>
    <row r="13" spans="1:29" ht="12.75">
      <c r="A13" s="163" t="s">
        <v>470</v>
      </c>
      <c r="B13" s="164"/>
      <c r="C13" s="164"/>
      <c r="D13" s="164"/>
      <c r="E13" s="1117"/>
      <c r="F13" s="164"/>
      <c r="G13" s="164"/>
      <c r="H13" s="164"/>
      <c r="I13" s="164"/>
      <c r="J13" s="164"/>
      <c r="K13" s="164"/>
      <c r="L13" s="164"/>
      <c r="M13" s="164"/>
      <c r="N13" s="699">
        <v>2700</v>
      </c>
      <c r="O13" s="699">
        <v>2700</v>
      </c>
      <c r="P13" s="699">
        <v>0</v>
      </c>
      <c r="Q13" s="1121">
        <f t="shared" si="4"/>
        <v>0</v>
      </c>
      <c r="R13" s="164"/>
      <c r="S13" s="164"/>
      <c r="T13" s="164"/>
      <c r="U13" s="164"/>
      <c r="V13" s="164"/>
      <c r="W13" s="164"/>
      <c r="X13" s="164"/>
      <c r="Y13" s="164"/>
      <c r="Z13" s="160">
        <f t="shared" si="0"/>
        <v>2700</v>
      </c>
      <c r="AA13" s="160">
        <f t="shared" si="0"/>
        <v>2700</v>
      </c>
      <c r="AB13" s="160">
        <f t="shared" si="0"/>
        <v>0</v>
      </c>
      <c r="AC13" s="1119">
        <f t="shared" si="3"/>
        <v>0</v>
      </c>
    </row>
    <row r="14" spans="1:29" ht="12.75">
      <c r="A14" s="163" t="s">
        <v>1118</v>
      </c>
      <c r="B14" s="164">
        <v>100</v>
      </c>
      <c r="C14" s="164">
        <v>100</v>
      </c>
      <c r="D14" s="164">
        <v>0</v>
      </c>
      <c r="E14" s="1117">
        <f t="shared" si="1"/>
        <v>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>
        <v>349.189</v>
      </c>
      <c r="Q14" s="1121"/>
      <c r="R14" s="164"/>
      <c r="S14" s="164"/>
      <c r="T14" s="164"/>
      <c r="U14" s="164"/>
      <c r="V14" s="164"/>
      <c r="W14" s="164"/>
      <c r="X14" s="164"/>
      <c r="Y14" s="164"/>
      <c r="Z14" s="160">
        <f t="shared" si="0"/>
        <v>100</v>
      </c>
      <c r="AA14" s="160">
        <f t="shared" si="0"/>
        <v>100</v>
      </c>
      <c r="AB14" s="160">
        <f t="shared" si="0"/>
        <v>349.189</v>
      </c>
      <c r="AC14" s="1119">
        <f t="shared" si="3"/>
        <v>3.49189</v>
      </c>
    </row>
    <row r="15" spans="1:29" s="158" customFormat="1" ht="12.75">
      <c r="A15" s="159" t="s">
        <v>1107</v>
      </c>
      <c r="B15" s="162">
        <f>B16+B17</f>
        <v>27434</v>
      </c>
      <c r="C15" s="162">
        <f>C16+C17</f>
        <v>27434</v>
      </c>
      <c r="D15" s="162">
        <f>D16+D17</f>
        <v>11355.781</v>
      </c>
      <c r="E15" s="1117">
        <f t="shared" si="1"/>
        <v>0.4139309251294015</v>
      </c>
      <c r="F15" s="162">
        <f aca="true" t="shared" si="5" ref="F15:AB15">F16+F17</f>
        <v>0</v>
      </c>
      <c r="G15" s="162">
        <f t="shared" si="5"/>
        <v>0</v>
      </c>
      <c r="H15" s="162">
        <f t="shared" si="5"/>
        <v>0</v>
      </c>
      <c r="I15" s="162"/>
      <c r="J15" s="162">
        <f t="shared" si="5"/>
        <v>0</v>
      </c>
      <c r="K15" s="162">
        <f t="shared" si="5"/>
        <v>0</v>
      </c>
      <c r="L15" s="162">
        <f t="shared" si="5"/>
        <v>0</v>
      </c>
      <c r="M15" s="162"/>
      <c r="N15" s="162">
        <f t="shared" si="5"/>
        <v>0</v>
      </c>
      <c r="O15" s="162">
        <f t="shared" si="5"/>
        <v>0</v>
      </c>
      <c r="P15" s="162">
        <f t="shared" si="5"/>
        <v>0</v>
      </c>
      <c r="Q15" s="1121"/>
      <c r="R15" s="162">
        <f t="shared" si="5"/>
        <v>0</v>
      </c>
      <c r="S15" s="162">
        <f t="shared" si="5"/>
        <v>0</v>
      </c>
      <c r="T15" s="162">
        <f t="shared" si="5"/>
        <v>0</v>
      </c>
      <c r="U15" s="162"/>
      <c r="V15" s="162">
        <f t="shared" si="5"/>
        <v>0</v>
      </c>
      <c r="W15" s="162">
        <f t="shared" si="5"/>
        <v>0</v>
      </c>
      <c r="X15" s="162">
        <f t="shared" si="5"/>
        <v>0</v>
      </c>
      <c r="Y15" s="162"/>
      <c r="Z15" s="162">
        <f t="shared" si="5"/>
        <v>27434</v>
      </c>
      <c r="AA15" s="162">
        <f t="shared" si="5"/>
        <v>27434</v>
      </c>
      <c r="AB15" s="162">
        <f t="shared" si="5"/>
        <v>11355.781</v>
      </c>
      <c r="AC15" s="1119">
        <f t="shared" si="3"/>
        <v>0.4139309251294015</v>
      </c>
    </row>
    <row r="16" spans="1:29" ht="12.75">
      <c r="A16" s="163" t="s">
        <v>1119</v>
      </c>
      <c r="B16" s="164">
        <v>1049</v>
      </c>
      <c r="C16" s="164">
        <v>1049</v>
      </c>
      <c r="D16" s="164">
        <v>355.87</v>
      </c>
      <c r="E16" s="1117">
        <f t="shared" si="1"/>
        <v>0.33924690181124884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121"/>
      <c r="R16" s="164"/>
      <c r="S16" s="164"/>
      <c r="T16" s="164"/>
      <c r="U16" s="164"/>
      <c r="V16" s="164"/>
      <c r="W16" s="164"/>
      <c r="X16" s="164"/>
      <c r="Y16" s="164"/>
      <c r="Z16" s="160">
        <f aca="true" t="shared" si="6" ref="Z16:AB18">+B16+F16+J16+N16+R16+V16</f>
        <v>1049</v>
      </c>
      <c r="AA16" s="160">
        <f t="shared" si="6"/>
        <v>1049</v>
      </c>
      <c r="AB16" s="160">
        <f t="shared" si="6"/>
        <v>355.87</v>
      </c>
      <c r="AC16" s="1119">
        <f t="shared" si="3"/>
        <v>0.33924690181124884</v>
      </c>
    </row>
    <row r="17" spans="1:29" ht="12.75">
      <c r="A17" s="163" t="s">
        <v>1120</v>
      </c>
      <c r="B17" s="164">
        <v>26385</v>
      </c>
      <c r="C17" s="164">
        <v>26385</v>
      </c>
      <c r="D17" s="164">
        <v>10999.911</v>
      </c>
      <c r="E17" s="1117">
        <f t="shared" si="1"/>
        <v>0.4169001705514497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121"/>
      <c r="R17" s="164"/>
      <c r="S17" s="164"/>
      <c r="T17" s="164"/>
      <c r="U17" s="164"/>
      <c r="V17" s="164"/>
      <c r="W17" s="164"/>
      <c r="X17" s="164"/>
      <c r="Y17" s="164"/>
      <c r="Z17" s="160">
        <f t="shared" si="6"/>
        <v>26385</v>
      </c>
      <c r="AA17" s="160">
        <f t="shared" si="6"/>
        <v>26385</v>
      </c>
      <c r="AB17" s="160">
        <f t="shared" si="6"/>
        <v>10999.911</v>
      </c>
      <c r="AC17" s="1119">
        <f t="shared" si="3"/>
        <v>0.4169001705514497</v>
      </c>
    </row>
    <row r="18" spans="1:29" ht="24">
      <c r="A18" s="165" t="s">
        <v>1121</v>
      </c>
      <c r="B18" s="162">
        <f aca="true" t="shared" si="7" ref="B18:X18">B10+B11+B15</f>
        <v>31780</v>
      </c>
      <c r="C18" s="162">
        <f t="shared" si="7"/>
        <v>31780</v>
      </c>
      <c r="D18" s="162">
        <f t="shared" si="7"/>
        <v>19057.781000000003</v>
      </c>
      <c r="E18" s="1117">
        <f t="shared" si="1"/>
        <v>0.5996784455632475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/>
      <c r="J18" s="162">
        <f t="shared" si="7"/>
        <v>0</v>
      </c>
      <c r="K18" s="162">
        <f t="shared" si="7"/>
        <v>0</v>
      </c>
      <c r="L18" s="162">
        <f t="shared" si="7"/>
        <v>0</v>
      </c>
      <c r="M18" s="162"/>
      <c r="N18" s="162">
        <f t="shared" si="7"/>
        <v>13147</v>
      </c>
      <c r="O18" s="162">
        <f t="shared" si="7"/>
        <v>13147</v>
      </c>
      <c r="P18" s="162">
        <f t="shared" si="7"/>
        <v>5675.994000000001</v>
      </c>
      <c r="Q18" s="1121">
        <f t="shared" si="4"/>
        <v>0.4317330189396821</v>
      </c>
      <c r="R18" s="162">
        <f t="shared" si="7"/>
        <v>0</v>
      </c>
      <c r="S18" s="162">
        <f t="shared" si="7"/>
        <v>0</v>
      </c>
      <c r="T18" s="162">
        <f t="shared" si="7"/>
        <v>0</v>
      </c>
      <c r="U18" s="162"/>
      <c r="V18" s="162">
        <f t="shared" si="7"/>
        <v>0</v>
      </c>
      <c r="W18" s="162">
        <f t="shared" si="7"/>
        <v>0</v>
      </c>
      <c r="X18" s="162">
        <f t="shared" si="7"/>
        <v>0</v>
      </c>
      <c r="Y18" s="162"/>
      <c r="Z18" s="160">
        <f t="shared" si="6"/>
        <v>44927</v>
      </c>
      <c r="AA18" s="160">
        <f t="shared" si="6"/>
        <v>44927</v>
      </c>
      <c r="AB18" s="160">
        <f>+D18+H18+L18+P18+T18+X18</f>
        <v>24733.775</v>
      </c>
      <c r="AC18" s="1119">
        <f t="shared" si="3"/>
        <v>0.5505325305495582</v>
      </c>
    </row>
    <row r="19" spans="1:29" ht="17.25" customHeight="1">
      <c r="A19" s="1243"/>
      <c r="B19" s="1244"/>
      <c r="C19" s="1244"/>
      <c r="D19" s="1244"/>
      <c r="E19" s="1244"/>
      <c r="F19" s="1244"/>
      <c r="G19" s="1244"/>
      <c r="H19" s="1244"/>
      <c r="I19" s="1244"/>
      <c r="J19" s="1244"/>
      <c r="K19" s="1244"/>
      <c r="L19" s="1244"/>
      <c r="M19" s="1244"/>
      <c r="N19" s="1244"/>
      <c r="O19" s="1244"/>
      <c r="P19" s="1244"/>
      <c r="Q19" s="1244"/>
      <c r="R19" s="1244"/>
      <c r="S19" s="1244"/>
      <c r="T19" s="1244"/>
      <c r="U19" s="1244"/>
      <c r="V19" s="1244"/>
      <c r="W19" s="1244"/>
      <c r="X19" s="1244"/>
      <c r="Y19" s="1244"/>
      <c r="Z19" s="1244"/>
      <c r="AA19" s="1244"/>
      <c r="AB19" s="1244"/>
      <c r="AC19" s="1245"/>
    </row>
    <row r="20" spans="1:29" ht="25.5">
      <c r="A20" s="872" t="s">
        <v>1140</v>
      </c>
      <c r="B20" s="161">
        <f>1am!B13</f>
        <v>650</v>
      </c>
      <c r="C20" s="161">
        <f>1am!C13</f>
        <v>650</v>
      </c>
      <c r="D20" s="161">
        <f>1am!D13</f>
        <v>172.185</v>
      </c>
      <c r="E20" s="1118">
        <f>D20/C20</f>
        <v>0.2649</v>
      </c>
      <c r="F20" s="161">
        <f>1am!F13</f>
        <v>0</v>
      </c>
      <c r="G20" s="161">
        <f>1am!G13</f>
        <v>0</v>
      </c>
      <c r="H20" s="161">
        <f>1am!H13</f>
        <v>0</v>
      </c>
      <c r="I20" s="161"/>
      <c r="J20" s="161">
        <f>1am!J13</f>
        <v>0</v>
      </c>
      <c r="K20" s="161">
        <f>1am!K13</f>
        <v>0</v>
      </c>
      <c r="L20" s="161">
        <f>1am!L13</f>
        <v>0</v>
      </c>
      <c r="M20" s="161">
        <f>1am!M13</f>
        <v>0</v>
      </c>
      <c r="N20" s="161">
        <f>1am!N13</f>
        <v>46670</v>
      </c>
      <c r="O20" s="161">
        <f>1am!O13</f>
        <v>46670</v>
      </c>
      <c r="P20" s="161">
        <f>1am!P13</f>
        <v>17294.681</v>
      </c>
      <c r="Q20" s="1118">
        <f>P20/O20</f>
        <v>0.3705738375830298</v>
      </c>
      <c r="R20" s="161">
        <f>1am!R13</f>
        <v>0</v>
      </c>
      <c r="S20" s="161">
        <f>1am!S13</f>
        <v>0</v>
      </c>
      <c r="T20" s="161">
        <f>1am!T13</f>
        <v>0</v>
      </c>
      <c r="U20" s="161"/>
      <c r="V20" s="161">
        <f>1am!V13</f>
        <v>0</v>
      </c>
      <c r="W20" s="161">
        <f>1am!W13</f>
        <v>0</v>
      </c>
      <c r="X20" s="161">
        <f>1am!X13</f>
        <v>0</v>
      </c>
      <c r="Y20" s="161"/>
      <c r="Z20" s="161">
        <f>1am!Z13</f>
        <v>47320</v>
      </c>
      <c r="AA20" s="161">
        <f>1am!AA13</f>
        <v>47320</v>
      </c>
      <c r="AB20" s="161">
        <f>1am!AB13</f>
        <v>17466.866</v>
      </c>
      <c r="AC20" s="1119">
        <f>AB20/AA20</f>
        <v>0.3691222738799662</v>
      </c>
    </row>
    <row r="21" spans="1:29" ht="27" customHeight="1">
      <c r="A21" s="872" t="s">
        <v>401</v>
      </c>
      <c r="B21" s="306">
        <f>1am!B54</f>
        <v>46971</v>
      </c>
      <c r="C21" s="306">
        <f>1am!C54</f>
        <v>52457</v>
      </c>
      <c r="D21" s="306">
        <f>1am!D54</f>
        <v>25692.949</v>
      </c>
      <c r="E21" s="1118">
        <f>D21/C21</f>
        <v>0.48979066664124904</v>
      </c>
      <c r="F21" s="306">
        <f>1am!F54</f>
        <v>124600</v>
      </c>
      <c r="G21" s="306">
        <f>1am!G54</f>
        <v>124600</v>
      </c>
      <c r="H21" s="306">
        <f>1am!H54</f>
        <v>80756.853</v>
      </c>
      <c r="I21" s="1119">
        <f>H21/G21</f>
        <v>0.6481288362760835</v>
      </c>
      <c r="J21" s="306">
        <f>1am!J54</f>
        <v>651100.493564</v>
      </c>
      <c r="K21" s="306">
        <f>1am!K54</f>
        <v>655488.493564</v>
      </c>
      <c r="L21" s="306">
        <f>1am!L54</f>
        <v>389961.648</v>
      </c>
      <c r="M21" s="1119">
        <f>L21/K21</f>
        <v>0.5949176100402825</v>
      </c>
      <c r="N21" s="306">
        <f>1am!N54</f>
        <v>172782</v>
      </c>
      <c r="O21" s="306">
        <f>1am!O54</f>
        <v>172782</v>
      </c>
      <c r="P21" s="306">
        <f>1am!P54</f>
        <v>86198.185</v>
      </c>
      <c r="Q21" s="1118">
        <f>P21/O21</f>
        <v>0.49888405620955883</v>
      </c>
      <c r="R21" s="306">
        <f>1am!R54</f>
        <v>1989</v>
      </c>
      <c r="S21" s="306">
        <f>1am!S54</f>
        <v>1989</v>
      </c>
      <c r="T21" s="306">
        <f>1am!T54</f>
        <v>2300</v>
      </c>
      <c r="U21" s="1119">
        <f>T21/S21</f>
        <v>1.1563599798893918</v>
      </c>
      <c r="V21" s="306">
        <f>1am!V54</f>
        <v>0</v>
      </c>
      <c r="W21" s="306">
        <f>1am!W54</f>
        <v>0</v>
      </c>
      <c r="X21" s="306">
        <f>1am!X54</f>
        <v>0</v>
      </c>
      <c r="Y21" s="306"/>
      <c r="Z21" s="306">
        <f>1am!Z54</f>
        <v>997442.493564</v>
      </c>
      <c r="AA21" s="306">
        <f>1am!AA54</f>
        <v>1007316.493564</v>
      </c>
      <c r="AB21" s="306">
        <f>1am!AB54</f>
        <v>584909.6350000001</v>
      </c>
      <c r="AC21" s="1119">
        <f>AB21/AA21</f>
        <v>0.5806612308416826</v>
      </c>
    </row>
    <row r="22" spans="1:29" ht="13.5">
      <c r="A22" s="166" t="s">
        <v>1122</v>
      </c>
      <c r="B22" s="167">
        <f>+B20+B18+B21</f>
        <v>79401</v>
      </c>
      <c r="C22" s="167">
        <f aca="true" t="shared" si="8" ref="C22:AA22">+C20+C18+C21</f>
        <v>84887</v>
      </c>
      <c r="D22" s="167">
        <f t="shared" si="8"/>
        <v>44922.91500000001</v>
      </c>
      <c r="E22" s="1118">
        <f>D22/C22</f>
        <v>0.5292084182501444</v>
      </c>
      <c r="F22" s="167">
        <f t="shared" si="8"/>
        <v>124600</v>
      </c>
      <c r="G22" s="167">
        <f t="shared" si="8"/>
        <v>124600</v>
      </c>
      <c r="H22" s="167">
        <f t="shared" si="8"/>
        <v>80756.853</v>
      </c>
      <c r="I22" s="1119">
        <f>H22/G22</f>
        <v>0.6481288362760835</v>
      </c>
      <c r="J22" s="167">
        <f t="shared" si="8"/>
        <v>651100.493564</v>
      </c>
      <c r="K22" s="167">
        <f t="shared" si="8"/>
        <v>655488.493564</v>
      </c>
      <c r="L22" s="167">
        <f t="shared" si="8"/>
        <v>389961.648</v>
      </c>
      <c r="M22" s="1120">
        <f>L22/K22</f>
        <v>0.5949176100402825</v>
      </c>
      <c r="N22" s="167">
        <f t="shared" si="8"/>
        <v>232599</v>
      </c>
      <c r="O22" s="167">
        <f t="shared" si="8"/>
        <v>232599</v>
      </c>
      <c r="P22" s="167">
        <f t="shared" si="8"/>
        <v>109168.86</v>
      </c>
      <c r="Q22" s="1118">
        <f>P22/O22</f>
        <v>0.4693436343234494</v>
      </c>
      <c r="R22" s="167">
        <f t="shared" si="8"/>
        <v>1989</v>
      </c>
      <c r="S22" s="167">
        <f t="shared" si="8"/>
        <v>1989</v>
      </c>
      <c r="T22" s="167">
        <f t="shared" si="8"/>
        <v>2300</v>
      </c>
      <c r="U22" s="1119">
        <f>T22/S22</f>
        <v>1.1563599798893918</v>
      </c>
      <c r="V22" s="167">
        <f t="shared" si="8"/>
        <v>0</v>
      </c>
      <c r="W22" s="167">
        <f t="shared" si="8"/>
        <v>0</v>
      </c>
      <c r="X22" s="167">
        <f t="shared" si="8"/>
        <v>0</v>
      </c>
      <c r="Y22" s="167"/>
      <c r="Z22" s="167">
        <f t="shared" si="8"/>
        <v>1089689.493564</v>
      </c>
      <c r="AA22" s="167">
        <f t="shared" si="8"/>
        <v>1099563.493564</v>
      </c>
      <c r="AB22" s="167">
        <f>+AB20+AB18+AB21</f>
        <v>627110.2760000001</v>
      </c>
      <c r="AC22" s="1117">
        <f>AB22/AA22</f>
        <v>0.5703265701986487</v>
      </c>
    </row>
  </sheetData>
  <sheetProtection/>
  <mergeCells count="16">
    <mergeCell ref="A8:AC9"/>
    <mergeCell ref="A19:AC19"/>
    <mergeCell ref="N4:R4"/>
    <mergeCell ref="B5:E6"/>
    <mergeCell ref="F5:I6"/>
    <mergeCell ref="J5:M6"/>
    <mergeCell ref="N6:Q6"/>
    <mergeCell ref="R6:U6"/>
    <mergeCell ref="N5:U5"/>
    <mergeCell ref="AB1:AC1"/>
    <mergeCell ref="A2:Z2"/>
    <mergeCell ref="A3:Z3"/>
    <mergeCell ref="V4:AA4"/>
    <mergeCell ref="A5:A7"/>
    <mergeCell ref="V5:Y6"/>
    <mergeCell ref="Z5:A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F34"/>
  <sheetViews>
    <sheetView view="pageBreakPreview" zoomScaleSheetLayoutView="100" zoomScalePageLayoutView="0" workbookViewId="0" topLeftCell="A13">
      <selection activeCell="E31" sqref="E31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3" width="10.7109375" style="0" customWidth="1"/>
    <col min="4" max="4" width="4.00390625" style="0" customWidth="1"/>
    <col min="5" max="5" width="10.57421875" style="355" customWidth="1"/>
  </cols>
  <sheetData>
    <row r="1" spans="1:5" ht="18">
      <c r="A1" s="1375" t="s">
        <v>137</v>
      </c>
      <c r="B1" s="1375"/>
      <c r="C1" s="1375"/>
      <c r="D1" s="1375"/>
      <c r="E1" s="1375"/>
    </row>
    <row r="2" spans="1:5" ht="18" customHeight="1">
      <c r="A2" s="1304" t="s">
        <v>1197</v>
      </c>
      <c r="B2" s="1304"/>
      <c r="C2" s="1304"/>
      <c r="D2" s="1304"/>
      <c r="E2" s="1304"/>
    </row>
    <row r="4" spans="1:5" ht="15">
      <c r="A4" s="1368" t="s">
        <v>163</v>
      </c>
      <c r="B4" s="1368"/>
      <c r="C4" s="1368"/>
      <c r="D4" s="1368"/>
      <c r="E4" s="1368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1217" t="s">
        <v>27</v>
      </c>
      <c r="B6" s="1217"/>
      <c r="C6" s="1217"/>
      <c r="D6" s="1217"/>
      <c r="E6" s="1217"/>
    </row>
    <row r="7" spans="1:5" ht="15">
      <c r="A7" s="97"/>
      <c r="B7" s="91"/>
      <c r="C7" s="98"/>
      <c r="D7" s="98"/>
      <c r="E7" s="98" t="s">
        <v>29</v>
      </c>
    </row>
    <row r="8" spans="1:5" ht="15">
      <c r="A8" s="97"/>
      <c r="B8" s="91"/>
      <c r="C8" s="98"/>
      <c r="D8" s="98"/>
      <c r="E8" s="98"/>
    </row>
    <row r="9" spans="1:5" ht="12.75">
      <c r="A9" s="14" t="s">
        <v>1478</v>
      </c>
      <c r="B9" s="14" t="s">
        <v>1026</v>
      </c>
      <c r="C9" s="15"/>
      <c r="D9" s="15"/>
      <c r="E9" s="15"/>
    </row>
    <row r="10" spans="1:5" ht="12.75">
      <c r="A10" s="461">
        <v>511111</v>
      </c>
      <c r="B10" s="14" t="s">
        <v>30</v>
      </c>
      <c r="C10" s="15">
        <f>Bérek2013!Q2+Bérek2013!Q3+Bérek2013!Q4</f>
        <v>4994400</v>
      </c>
      <c r="D10" s="15"/>
      <c r="E10" s="15">
        <f>+ROUND(C10,-3)/1000</f>
        <v>4994</v>
      </c>
    </row>
    <row r="11" spans="1:5" ht="12.75">
      <c r="A11" s="461">
        <v>511121</v>
      </c>
      <c r="B11" s="328" t="s">
        <v>31</v>
      </c>
      <c r="C11" s="15">
        <f>Bérek2013!R2+Bérek2013!R3+Bérek2013!R4</f>
        <v>241200</v>
      </c>
      <c r="D11" s="15"/>
      <c r="E11" s="15">
        <f>+ROUND(C11,-3)/1000</f>
        <v>241</v>
      </c>
    </row>
    <row r="12" spans="1:5" ht="12.75">
      <c r="A12" s="328">
        <v>511131</v>
      </c>
      <c r="B12" s="328" t="s">
        <v>33</v>
      </c>
      <c r="C12" s="633">
        <f>Bérek2013!S2+Bérek2013!S3+Bérek2013!S4</f>
        <v>0</v>
      </c>
      <c r="D12" s="15"/>
      <c r="E12" s="15">
        <f>+ROUND(C12,-3)/1000</f>
        <v>0</v>
      </c>
    </row>
    <row r="13" spans="1:5" ht="12.75">
      <c r="A13" s="540">
        <v>511</v>
      </c>
      <c r="B13" s="495" t="s">
        <v>1481</v>
      </c>
      <c r="C13" s="445">
        <f>SUM(C10:C12)</f>
        <v>5235600</v>
      </c>
      <c r="D13" s="445"/>
      <c r="E13" s="35">
        <f>E10+E11+E12</f>
        <v>5235</v>
      </c>
    </row>
    <row r="14" spans="1:5" ht="12.75">
      <c r="A14" s="461">
        <v>512191</v>
      </c>
      <c r="B14" s="491" t="s">
        <v>1196</v>
      </c>
      <c r="C14" s="459"/>
      <c r="D14" s="459"/>
      <c r="E14" s="461">
        <f>ROUND(C14,-3)/1000</f>
        <v>0</v>
      </c>
    </row>
    <row r="15" spans="1:6" ht="12.75">
      <c r="A15" s="540">
        <v>512</v>
      </c>
      <c r="B15" s="600" t="s">
        <v>93</v>
      </c>
      <c r="C15" s="445"/>
      <c r="D15" s="445"/>
      <c r="E15" s="445">
        <f>+E14</f>
        <v>0</v>
      </c>
      <c r="F15" s="21"/>
    </row>
    <row r="16" spans="1:6" ht="12.75">
      <c r="A16" s="461">
        <v>513121</v>
      </c>
      <c r="B16" s="14" t="s">
        <v>1192</v>
      </c>
      <c r="C16" s="15"/>
      <c r="D16" s="15"/>
      <c r="E16" s="15">
        <f>ROUND(C16,-3)/1000</f>
        <v>0</v>
      </c>
      <c r="F16" s="21"/>
    </row>
    <row r="17" spans="1:6" ht="12.75">
      <c r="A17" s="461">
        <v>513131</v>
      </c>
      <c r="B17" s="14" t="s">
        <v>35</v>
      </c>
      <c r="C17" s="15"/>
      <c r="D17" s="15"/>
      <c r="E17" s="18"/>
      <c r="F17" s="21"/>
    </row>
    <row r="18" spans="1:5" ht="12.75">
      <c r="A18" s="540">
        <v>513</v>
      </c>
      <c r="B18" s="495" t="s">
        <v>1462</v>
      </c>
      <c r="C18" s="445"/>
      <c r="D18" s="445"/>
      <c r="E18" s="445">
        <f>+E16+E17</f>
        <v>0</v>
      </c>
    </row>
    <row r="19" spans="1:5" ht="12.75">
      <c r="A19" s="461">
        <v>514141</v>
      </c>
      <c r="B19" s="14" t="s">
        <v>40</v>
      </c>
      <c r="C19" s="15">
        <f>Bérek2013!Z2+Bérek2013!Z3+Bérek2013!Z4</f>
        <v>450000</v>
      </c>
      <c r="D19" s="15"/>
      <c r="E19" s="15">
        <f>ROUND(C19,-3)/1000</f>
        <v>450</v>
      </c>
    </row>
    <row r="20" spans="1:5" ht="12.75">
      <c r="A20" s="461">
        <v>514191</v>
      </c>
      <c r="B20" s="14" t="s">
        <v>783</v>
      </c>
      <c r="C20" s="15"/>
      <c r="D20" s="15"/>
      <c r="E20" s="15">
        <v>0</v>
      </c>
    </row>
    <row r="21" spans="1:5" ht="13.5" thickBot="1">
      <c r="A21" s="540">
        <v>514</v>
      </c>
      <c r="B21" s="541" t="s">
        <v>1463</v>
      </c>
      <c r="C21" s="445"/>
      <c r="D21" s="445"/>
      <c r="E21" s="445">
        <f>SUM(E19:E20)</f>
        <v>450</v>
      </c>
    </row>
    <row r="22" spans="1:5" ht="16.5" thickBot="1">
      <c r="A22" s="1365" t="s">
        <v>1484</v>
      </c>
      <c r="B22" s="1366"/>
      <c r="C22" s="1366"/>
      <c r="D22" s="514"/>
      <c r="E22" s="443">
        <f>+E13+E15+E18+E21</f>
        <v>5685</v>
      </c>
    </row>
    <row r="23" spans="1:5" s="23" customFormat="1" ht="15.75">
      <c r="A23" s="78"/>
      <c r="B23" s="78"/>
      <c r="C23" s="78"/>
      <c r="D23" s="78"/>
      <c r="E23" s="358"/>
    </row>
    <row r="24" spans="1:5" ht="15">
      <c r="A24" s="1377" t="s">
        <v>1485</v>
      </c>
      <c r="B24" s="1378"/>
      <c r="C24" s="1378"/>
      <c r="D24" s="1378"/>
      <c r="E24" s="1378"/>
    </row>
    <row r="25" spans="1:5" ht="13.5" thickBot="1">
      <c r="A25" s="449">
        <v>53112</v>
      </c>
      <c r="B25" s="449" t="s">
        <v>1198</v>
      </c>
      <c r="C25" s="462"/>
      <c r="D25" s="462"/>
      <c r="E25" s="450">
        <f>(E13+E15+E18)*0.27</f>
        <v>1413.45</v>
      </c>
    </row>
    <row r="26" spans="1:5" ht="16.5" thickBot="1">
      <c r="A26" s="1365" t="s">
        <v>981</v>
      </c>
      <c r="B26" s="1366"/>
      <c r="C26" s="1366"/>
      <c r="D26" s="514"/>
      <c r="E26" s="443">
        <f>+E25</f>
        <v>1413.45</v>
      </c>
    </row>
    <row r="27" spans="1:5" s="23" customFormat="1" ht="15.75">
      <c r="A27" s="78"/>
      <c r="B27" s="78"/>
      <c r="C27" s="78"/>
      <c r="D27" s="78"/>
      <c r="E27" s="358"/>
    </row>
    <row r="28" spans="1:5" ht="12.75">
      <c r="A28" s="1217" t="s">
        <v>1487</v>
      </c>
      <c r="B28" s="1217"/>
      <c r="C28" s="1217"/>
      <c r="D28" s="1217"/>
      <c r="E28" s="1217"/>
    </row>
    <row r="29" spans="1:5" ht="12.75">
      <c r="A29" s="12">
        <v>56211</v>
      </c>
      <c r="B29" s="12" t="s">
        <v>995</v>
      </c>
      <c r="C29" s="12"/>
      <c r="D29" s="12"/>
      <c r="E29" s="463">
        <v>0</v>
      </c>
    </row>
    <row r="30" spans="1:5" ht="12.75">
      <c r="A30" s="12">
        <v>57211</v>
      </c>
      <c r="B30" s="12" t="s">
        <v>1199</v>
      </c>
      <c r="C30" s="15"/>
      <c r="D30" s="15"/>
      <c r="E30" s="463">
        <f>+E19*0.357</f>
        <v>160.65</v>
      </c>
    </row>
    <row r="31" spans="1:5" ht="13.5" thickBot="1">
      <c r="A31" s="449">
        <v>57213</v>
      </c>
      <c r="B31" s="449" t="s">
        <v>796</v>
      </c>
      <c r="C31" s="450"/>
      <c r="D31" s="450"/>
      <c r="E31" s="464">
        <f>'rehabilitációs hj '!E18</f>
        <v>145</v>
      </c>
    </row>
    <row r="32" spans="1:5" ht="16.5" thickBot="1">
      <c r="A32" s="1365" t="s">
        <v>162</v>
      </c>
      <c r="B32" s="1366"/>
      <c r="C32" s="1366"/>
      <c r="D32" s="514"/>
      <c r="E32" s="465">
        <f>SUM(E29:E31)</f>
        <v>305.65</v>
      </c>
    </row>
    <row r="33" spans="1:5" ht="15.75">
      <c r="A33" s="78"/>
      <c r="B33" s="78"/>
      <c r="C33" s="78"/>
      <c r="D33" s="78"/>
      <c r="E33" s="359"/>
    </row>
    <row r="34" spans="1:5" ht="15.75">
      <c r="A34" s="1376" t="s">
        <v>961</v>
      </c>
      <c r="B34" s="1376"/>
      <c r="C34" s="1376"/>
      <c r="D34" s="305"/>
      <c r="E34" s="354">
        <f>+E32+E26+E22</f>
        <v>7404.1</v>
      </c>
    </row>
  </sheetData>
  <sheetProtection/>
  <mergeCells count="11">
    <mergeCell ref="A34:C34"/>
    <mergeCell ref="A28:E28"/>
    <mergeCell ref="A22:C22"/>
    <mergeCell ref="A24:E24"/>
    <mergeCell ref="A26:C26"/>
    <mergeCell ref="A32:C32"/>
    <mergeCell ref="A6:E6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M439"/>
  <sheetViews>
    <sheetView view="pageBreakPreview" zoomScaleNormal="85" zoomScaleSheetLayoutView="100" zoomScalePageLayoutView="0" workbookViewId="0" topLeftCell="A36">
      <selection activeCell="B1" sqref="A1:E43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94" t="s">
        <v>174</v>
      </c>
    </row>
    <row r="2" ht="18">
      <c r="B2" s="347" t="s">
        <v>376</v>
      </c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1217" t="s">
        <v>27</v>
      </c>
      <c r="B6" s="1217"/>
      <c r="C6" s="1217"/>
      <c r="D6" s="1217"/>
      <c r="E6" s="1217"/>
    </row>
    <row r="7" spans="1:7" s="10" customFormat="1" ht="12.75">
      <c r="A7" s="64"/>
      <c r="B7" s="341" t="s">
        <v>1452</v>
      </c>
      <c r="C7" s="66">
        <v>0</v>
      </c>
      <c r="D7" s="51">
        <f>+ROUND(C7,-3)</f>
        <v>0</v>
      </c>
      <c r="G7" s="11"/>
    </row>
    <row r="8" spans="1:7" s="25" customFormat="1" ht="12.75">
      <c r="A8" s="62">
        <v>522151</v>
      </c>
      <c r="B8" s="62" t="s">
        <v>969</v>
      </c>
      <c r="C8" s="59"/>
      <c r="D8" s="59"/>
      <c r="E8" s="59">
        <f>+D7/1000</f>
        <v>0</v>
      </c>
      <c r="G8" s="33"/>
    </row>
    <row r="9" spans="2:13" ht="12.75">
      <c r="B9" s="13" t="s">
        <v>1351</v>
      </c>
      <c r="C9" s="60">
        <f>7*45000*12</f>
        <v>3780000</v>
      </c>
      <c r="D9" s="8">
        <v>3780000</v>
      </c>
      <c r="E9" s="8"/>
      <c r="G9" s="1380"/>
      <c r="H9" s="1381"/>
      <c r="I9" s="1381"/>
      <c r="J9" s="1381"/>
      <c r="K9" s="1381"/>
      <c r="L9" s="1381"/>
      <c r="M9" s="1381"/>
    </row>
    <row r="10" spans="1:5" ht="12.75">
      <c r="A10" s="62">
        <v>52216</v>
      </c>
      <c r="B10" s="62" t="s">
        <v>1494</v>
      </c>
      <c r="C10" s="59"/>
      <c r="D10" s="59"/>
      <c r="E10" s="59">
        <f>+D9/1000</f>
        <v>3780</v>
      </c>
    </row>
    <row r="12" spans="1:5" ht="15.75">
      <c r="A12" s="1379" t="s">
        <v>1484</v>
      </c>
      <c r="B12" s="1379"/>
      <c r="C12" s="1379"/>
      <c r="D12" s="1379"/>
      <c r="E12" s="76">
        <f>E8+E10</f>
        <v>3780</v>
      </c>
    </row>
    <row r="15" spans="1:5" ht="12.75">
      <c r="A15" s="1215" t="s">
        <v>1485</v>
      </c>
      <c r="B15" s="1372"/>
      <c r="C15" s="1372"/>
      <c r="D15" s="1372"/>
      <c r="E15" s="1372"/>
    </row>
    <row r="17" spans="1:5" ht="15.75">
      <c r="A17" s="92">
        <v>53112</v>
      </c>
      <c r="B17" s="37" t="s">
        <v>1198</v>
      </c>
      <c r="C17" s="63"/>
      <c r="D17" s="43"/>
      <c r="E17" s="35">
        <f>+E12*0.27</f>
        <v>1020.6</v>
      </c>
    </row>
    <row r="18" spans="1:5" ht="15.75">
      <c r="A18" s="1383" t="s">
        <v>981</v>
      </c>
      <c r="B18" s="1383"/>
      <c r="C18" s="1383"/>
      <c r="D18" s="1383"/>
      <c r="E18" s="442">
        <f>+E17</f>
        <v>1020.6</v>
      </c>
    </row>
    <row r="21" spans="1:5" ht="12.75">
      <c r="A21" s="1215" t="s">
        <v>1487</v>
      </c>
      <c r="B21" s="1372"/>
      <c r="C21" s="1372"/>
      <c r="D21" s="1372"/>
      <c r="E21" s="1372"/>
    </row>
    <row r="22" spans="1:5" ht="12.75">
      <c r="A22" s="1217" t="s">
        <v>983</v>
      </c>
      <c r="B22" s="1217"/>
      <c r="C22" s="1217"/>
      <c r="D22" s="1217"/>
      <c r="E22" s="1217"/>
    </row>
    <row r="23" spans="1:5" ht="12.75">
      <c r="A23" s="1217" t="s">
        <v>986</v>
      </c>
      <c r="B23" s="1217"/>
      <c r="C23" s="1217"/>
      <c r="D23" s="1217"/>
      <c r="E23" s="1217"/>
    </row>
    <row r="24" spans="1:5" ht="12.75">
      <c r="A24" s="62">
        <v>55219</v>
      </c>
      <c r="B24" s="68" t="s">
        <v>1020</v>
      </c>
      <c r="C24" s="59">
        <f>SUM(C25:C29)</f>
        <v>1600000</v>
      </c>
      <c r="D24" s="59">
        <f>+ROUND(C24,-3)</f>
        <v>1600000</v>
      </c>
      <c r="E24" s="59">
        <f>+D24/1000</f>
        <v>1600</v>
      </c>
    </row>
    <row r="25" spans="1:5" ht="12.75">
      <c r="A25" s="52"/>
      <c r="B25" s="74" t="s">
        <v>782</v>
      </c>
      <c r="C25" s="864">
        <v>100000</v>
      </c>
      <c r="D25" s="52"/>
      <c r="E25" s="52"/>
    </row>
    <row r="26" spans="1:5" ht="12.75">
      <c r="A26" s="52"/>
      <c r="B26" s="269" t="s">
        <v>1166</v>
      </c>
      <c r="C26" s="75">
        <f>100000*12</f>
        <v>1200000</v>
      </c>
      <c r="D26" s="52"/>
      <c r="E26" s="52"/>
    </row>
    <row r="27" spans="1:5" ht="12.75">
      <c r="A27" s="52"/>
      <c r="B27" s="269" t="s">
        <v>96</v>
      </c>
      <c r="C27" s="75">
        <v>0</v>
      </c>
      <c r="D27" s="52"/>
      <c r="E27" s="52"/>
    </row>
    <row r="28" spans="1:5" ht="12.75">
      <c r="A28" s="52"/>
      <c r="B28" s="269" t="s">
        <v>97</v>
      </c>
      <c r="C28" s="75">
        <v>0</v>
      </c>
      <c r="D28" s="52"/>
      <c r="E28" s="52"/>
    </row>
    <row r="29" spans="2:5" ht="12.75">
      <c r="B29" s="22" t="s">
        <v>261</v>
      </c>
      <c r="C29" s="8">
        <v>300000</v>
      </c>
      <c r="D29" s="8"/>
      <c r="E29" s="8"/>
    </row>
    <row r="32" spans="1:5" ht="12.75">
      <c r="A32" s="1217" t="s">
        <v>993</v>
      </c>
      <c r="B32" s="1217"/>
      <c r="C32" s="1217"/>
      <c r="D32" s="1217"/>
      <c r="E32" s="1217"/>
    </row>
    <row r="33" spans="1:5" ht="12.75">
      <c r="A33" s="52"/>
      <c r="B33" s="52"/>
      <c r="C33" s="52"/>
      <c r="D33" s="52"/>
      <c r="E33" s="52"/>
    </row>
    <row r="34" spans="1:5" ht="12.75">
      <c r="A34" s="52"/>
      <c r="B34" s="52"/>
      <c r="C34" s="52"/>
      <c r="D34" s="52"/>
      <c r="E34" s="52"/>
    </row>
    <row r="35" spans="1:5" ht="12.75">
      <c r="A35" s="69">
        <v>56111</v>
      </c>
      <c r="B35" s="70" t="s">
        <v>994</v>
      </c>
      <c r="C35" s="70">
        <f>+(C26+C25+C51)*0.27</f>
        <v>351000</v>
      </c>
      <c r="D35" s="59">
        <f>+ROUND(C35,-3)</f>
        <v>351000</v>
      </c>
      <c r="E35" s="59">
        <f>+D35/1000</f>
        <v>351</v>
      </c>
    </row>
    <row r="36" spans="1:5" ht="12.75">
      <c r="A36" s="64"/>
      <c r="B36" s="64"/>
      <c r="C36" s="64"/>
      <c r="D36" s="56"/>
      <c r="E36" s="56"/>
    </row>
    <row r="37" spans="1:5" ht="12.75">
      <c r="A37" s="62">
        <v>56213</v>
      </c>
      <c r="B37" s="62" t="s">
        <v>996</v>
      </c>
      <c r="C37" s="62"/>
      <c r="D37" s="59"/>
      <c r="E37" s="59">
        <v>150</v>
      </c>
    </row>
    <row r="39" spans="1:5" ht="12.75">
      <c r="A39" s="62">
        <v>56214</v>
      </c>
      <c r="B39" s="62" t="s">
        <v>1016</v>
      </c>
      <c r="C39" s="59"/>
      <c r="D39" s="59"/>
      <c r="E39" s="59"/>
    </row>
    <row r="41" spans="1:5" ht="15.75">
      <c r="A41" s="1379" t="s">
        <v>162</v>
      </c>
      <c r="B41" s="1379"/>
      <c r="C41" s="1379"/>
      <c r="D41" s="1379"/>
      <c r="E41" s="71">
        <f>+E24+E37+E39+E35</f>
        <v>2101</v>
      </c>
    </row>
    <row r="43" spans="1:7" ht="15.75">
      <c r="A43" s="1376" t="s">
        <v>961</v>
      </c>
      <c r="B43" s="1376"/>
      <c r="C43" s="1376"/>
      <c r="D43" s="1376"/>
      <c r="E43" s="77">
        <f>E12+E18+E41</f>
        <v>6901.6</v>
      </c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1:7" ht="15">
      <c r="A46" s="1382" t="s">
        <v>164</v>
      </c>
      <c r="B46" s="1382"/>
      <c r="C46" s="1382"/>
      <c r="D46" s="1382"/>
      <c r="E46" s="1382"/>
      <c r="F46" s="8"/>
      <c r="G46" s="8"/>
    </row>
    <row r="47" spans="6:7" ht="12.75">
      <c r="F47" s="8"/>
      <c r="G47" s="8"/>
    </row>
    <row r="48" spans="1:7" ht="12.75">
      <c r="A48" s="1217"/>
      <c r="B48" s="1217"/>
      <c r="C48" s="1217"/>
      <c r="D48" s="1217"/>
      <c r="E48" s="1217"/>
      <c r="F48" s="8"/>
      <c r="G48" s="8"/>
    </row>
    <row r="49" spans="6:7" ht="12.75">
      <c r="F49" s="8"/>
      <c r="G49" s="8"/>
    </row>
    <row r="50" spans="1:7" ht="15.75">
      <c r="A50" s="1379"/>
      <c r="B50" s="1379"/>
      <c r="C50" s="1379"/>
      <c r="D50" s="1379"/>
      <c r="E50" s="71"/>
      <c r="F50" s="8"/>
      <c r="G50" s="8"/>
    </row>
    <row r="51" spans="6:7" ht="12.75">
      <c r="F51" s="8"/>
      <c r="G51" s="8"/>
    </row>
    <row r="52" spans="1:7" ht="12.75">
      <c r="A52" s="865"/>
      <c r="B52" s="866"/>
      <c r="C52" s="866"/>
      <c r="D52" s="865"/>
      <c r="F52" s="8"/>
      <c r="G52" s="8"/>
    </row>
    <row r="53" spans="6:7" ht="12.75">
      <c r="F53" s="8"/>
      <c r="G53" s="8"/>
    </row>
    <row r="54" spans="1:7" ht="15.75">
      <c r="A54" s="1379"/>
      <c r="B54" s="1379"/>
      <c r="C54" s="1379"/>
      <c r="D54" s="1379"/>
      <c r="E54" s="71"/>
      <c r="F54" s="8"/>
      <c r="G54" s="8"/>
    </row>
    <row r="55" spans="6:7" ht="12.75">
      <c r="F55" s="8"/>
      <c r="G55" s="8"/>
    </row>
    <row r="56" spans="1:7" ht="12.75">
      <c r="A56" s="1217"/>
      <c r="B56" s="1217"/>
      <c r="C56" s="1217"/>
      <c r="D56" s="1217"/>
      <c r="E56" s="1217"/>
      <c r="F56" s="8"/>
      <c r="G56" s="8"/>
    </row>
    <row r="57" spans="6:7" ht="12.75">
      <c r="F57" s="8"/>
      <c r="G57" s="8"/>
    </row>
    <row r="58" spans="1:7" ht="15.75">
      <c r="A58" s="1379"/>
      <c r="B58" s="1379"/>
      <c r="C58" s="1379"/>
      <c r="D58" s="1379"/>
      <c r="E58" s="71"/>
      <c r="F58" s="8"/>
      <c r="G58" s="8"/>
    </row>
    <row r="59" spans="6:7" ht="12.75">
      <c r="F59" s="8"/>
      <c r="G59" s="8"/>
    </row>
    <row r="60" spans="1:7" ht="12.75">
      <c r="A60" s="1217"/>
      <c r="B60" s="1217"/>
      <c r="C60" s="1217"/>
      <c r="D60" s="1217"/>
      <c r="E60" s="1217"/>
      <c r="F60" s="8"/>
      <c r="G60" s="8"/>
    </row>
    <row r="61" spans="6:7" ht="12.75">
      <c r="F61" s="8"/>
      <c r="G61" s="8"/>
    </row>
    <row r="62" spans="1:7" ht="15.75">
      <c r="A62" s="1379"/>
      <c r="B62" s="1379"/>
      <c r="C62" s="1379"/>
      <c r="D62" s="1379"/>
      <c r="E62" s="71"/>
      <c r="F62" s="8"/>
      <c r="G62" s="8"/>
    </row>
    <row r="63" spans="6:7" ht="12.75">
      <c r="F63" s="8"/>
      <c r="G63" s="8"/>
    </row>
    <row r="64" spans="1:7" ht="15.75">
      <c r="A64" s="1376" t="s">
        <v>962</v>
      </c>
      <c r="B64" s="1376"/>
      <c r="C64" s="1376"/>
      <c r="D64" s="1376"/>
      <c r="E64" s="77">
        <f>E51+E52</f>
        <v>0</v>
      </c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0" spans="6:7" ht="12.75">
      <c r="F70" s="8"/>
      <c r="G70" s="8"/>
    </row>
    <row r="71" spans="6:7" ht="12.75">
      <c r="F71" s="8"/>
      <c r="G71" s="8"/>
    </row>
    <row r="72" spans="6:7" ht="12.75">
      <c r="F72" s="8"/>
      <c r="G72" s="8"/>
    </row>
    <row r="73" spans="6:7" ht="12.75">
      <c r="F73" s="8"/>
      <c r="G73" s="8"/>
    </row>
    <row r="74" spans="6:7" ht="12.75">
      <c r="F74" s="8"/>
      <c r="G74" s="8"/>
    </row>
    <row r="75" spans="6:7" ht="12.75">
      <c r="F75" s="8"/>
      <c r="G75" s="8"/>
    </row>
    <row r="76" spans="6:7" ht="12.75">
      <c r="F76" s="8"/>
      <c r="G76" s="8"/>
    </row>
    <row r="77" spans="6:7" ht="12.75">
      <c r="F77" s="8"/>
      <c r="G77" s="8"/>
    </row>
    <row r="78" spans="6:7" ht="12.75">
      <c r="F78" s="11"/>
      <c r="G78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11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  <row r="161" spans="6:7" ht="12.75">
      <c r="F161" s="8"/>
      <c r="G161" s="8"/>
    </row>
    <row r="162" spans="6:7" ht="12.75">
      <c r="F162" s="8"/>
      <c r="G162" s="8"/>
    </row>
    <row r="163" spans="6:7" ht="12.75">
      <c r="F163" s="8"/>
      <c r="G163" s="8"/>
    </row>
    <row r="164" spans="6:7" ht="12.75">
      <c r="F164" s="8"/>
      <c r="G164" s="8"/>
    </row>
    <row r="165" spans="6:7" ht="12.75">
      <c r="F165" s="8"/>
      <c r="G165" s="8"/>
    </row>
    <row r="166" spans="6:7" ht="12.75">
      <c r="F166" s="8"/>
      <c r="G166" s="8"/>
    </row>
    <row r="167" spans="6:7" ht="12.75">
      <c r="F167" s="8"/>
      <c r="G167" s="8"/>
    </row>
    <row r="168" spans="6:7" ht="12.75">
      <c r="F168" s="8"/>
      <c r="G168" s="8"/>
    </row>
    <row r="169" spans="6:7" ht="12.75">
      <c r="F169" s="8"/>
      <c r="G169" s="8"/>
    </row>
    <row r="170" spans="6:7" ht="12.75">
      <c r="F170" s="8"/>
      <c r="G170" s="8"/>
    </row>
    <row r="171" spans="6:7" ht="12.75">
      <c r="F171" s="8"/>
      <c r="G171" s="8"/>
    </row>
    <row r="172" spans="6:7" ht="12.75">
      <c r="F172" s="8"/>
      <c r="G172" s="8"/>
    </row>
    <row r="173" spans="6:7" ht="12.75">
      <c r="F173" s="8"/>
      <c r="G173" s="8"/>
    </row>
    <row r="174" spans="6:7" ht="12.75">
      <c r="F174" s="8"/>
      <c r="G174" s="8"/>
    </row>
    <row r="175" spans="6:7" ht="12.75">
      <c r="F175" s="8"/>
      <c r="G175" s="8"/>
    </row>
    <row r="176" spans="6:7" ht="12.75">
      <c r="F176" s="8"/>
      <c r="G176" s="8"/>
    </row>
    <row r="177" spans="6:7" ht="12.75">
      <c r="F177" s="8"/>
      <c r="G177" s="8"/>
    </row>
    <row r="178" spans="6:7" ht="12.75">
      <c r="F178" s="8"/>
      <c r="G178" s="8"/>
    </row>
    <row r="179" spans="6:7" ht="12.75">
      <c r="F179" s="8"/>
      <c r="G179" s="8"/>
    </row>
    <row r="180" spans="6:7" ht="12.75">
      <c r="F180" s="8"/>
      <c r="G180" s="8"/>
    </row>
    <row r="181" spans="6:7" ht="12.75">
      <c r="F181" s="8"/>
      <c r="G181" s="8"/>
    </row>
    <row r="182" spans="6:7" ht="12.75">
      <c r="F182" s="8"/>
      <c r="G182" s="8"/>
    </row>
    <row r="183" spans="6:7" ht="12.75">
      <c r="F183" s="8"/>
      <c r="G183" s="8"/>
    </row>
    <row r="184" spans="6:7" ht="12.75">
      <c r="F184" s="8"/>
      <c r="G184" s="8"/>
    </row>
    <row r="185" spans="6:7" ht="12.75">
      <c r="F185" s="8"/>
      <c r="G185" s="8"/>
    </row>
    <row r="186" spans="6:7" ht="12.75">
      <c r="F186" s="8"/>
      <c r="G186" s="8"/>
    </row>
    <row r="187" spans="6:7" ht="12.75">
      <c r="F187" s="8"/>
      <c r="G187" s="8"/>
    </row>
    <row r="188" spans="6:7" ht="12.75">
      <c r="F188" s="8"/>
      <c r="G188" s="8"/>
    </row>
    <row r="189" spans="6:7" ht="12.75">
      <c r="F189" s="8"/>
      <c r="G189" s="8"/>
    </row>
    <row r="190" spans="6:7" ht="12.75">
      <c r="F190" s="8"/>
      <c r="G190" s="8"/>
    </row>
    <row r="191" spans="6:7" ht="12.75">
      <c r="F191" s="8"/>
      <c r="G191" s="8"/>
    </row>
    <row r="192" spans="6:7" ht="12.75">
      <c r="F192" s="8"/>
      <c r="G192" s="8"/>
    </row>
    <row r="193" spans="6:7" ht="12.75">
      <c r="F193" s="8"/>
      <c r="G193" s="8"/>
    </row>
    <row r="194" spans="6:7" ht="12.75">
      <c r="F194" s="8"/>
      <c r="G194" s="8"/>
    </row>
    <row r="195" spans="6:7" ht="12.75">
      <c r="F195" s="8"/>
      <c r="G195" s="8"/>
    </row>
    <row r="196" spans="6:7" ht="12.75">
      <c r="F196" s="8"/>
      <c r="G196" s="8"/>
    </row>
    <row r="197" spans="6:7" ht="12.75">
      <c r="F197" s="8"/>
      <c r="G197" s="8"/>
    </row>
    <row r="198" spans="6:7" ht="12.75">
      <c r="F198" s="8"/>
      <c r="G198" s="8"/>
    </row>
    <row r="199" spans="6:7" ht="12.75">
      <c r="F199" s="8"/>
      <c r="G199" s="8"/>
    </row>
    <row r="200" spans="6:7" ht="12.75">
      <c r="F200" s="8"/>
      <c r="G200" s="8"/>
    </row>
    <row r="201" spans="6:7" ht="12.75">
      <c r="F201" s="8"/>
      <c r="G201" s="8"/>
    </row>
    <row r="202" spans="6:7" ht="12.75">
      <c r="F202" s="8"/>
      <c r="G202" s="8"/>
    </row>
    <row r="203" spans="6:7" ht="12.75">
      <c r="F203" s="8"/>
      <c r="G203" s="8"/>
    </row>
    <row r="204" spans="6:7" ht="12.75">
      <c r="F204" s="8"/>
      <c r="G204" s="8"/>
    </row>
    <row r="205" spans="6:7" ht="12.75">
      <c r="F205" s="8"/>
      <c r="G205" s="8"/>
    </row>
    <row r="206" spans="6:7" ht="12.75">
      <c r="F206" s="8"/>
      <c r="G206" s="8"/>
    </row>
    <row r="207" spans="6:7" ht="12.75">
      <c r="F207" s="8"/>
      <c r="G207" s="8"/>
    </row>
    <row r="208" spans="6:7" ht="12.75">
      <c r="F208" s="8"/>
      <c r="G208" s="8"/>
    </row>
    <row r="209" spans="6:7" ht="12.75">
      <c r="F209" s="8"/>
      <c r="G209" s="8"/>
    </row>
    <row r="210" spans="6:7" ht="12.75">
      <c r="F210" s="8"/>
      <c r="G210" s="8"/>
    </row>
    <row r="211" spans="6:7" ht="12.75">
      <c r="F211" s="8"/>
      <c r="G211" s="8"/>
    </row>
    <row r="212" spans="6:7" ht="12.75">
      <c r="F212" s="8"/>
      <c r="G212" s="8"/>
    </row>
    <row r="213" spans="6:7" ht="12.75">
      <c r="F213" s="8"/>
      <c r="G213" s="8"/>
    </row>
    <row r="214" spans="6:7" ht="12.75">
      <c r="F214" s="8"/>
      <c r="G214" s="8"/>
    </row>
    <row r="215" spans="6:7" ht="12.75">
      <c r="F215" s="8"/>
      <c r="G215" s="8"/>
    </row>
    <row r="216" spans="6:7" ht="12.75">
      <c r="F216" s="8"/>
      <c r="G216" s="8"/>
    </row>
    <row r="217" spans="6:7" ht="12.75">
      <c r="F217" s="8"/>
      <c r="G217" s="8"/>
    </row>
    <row r="218" spans="6:7" ht="12.75">
      <c r="F218" s="8"/>
      <c r="G218" s="8"/>
    </row>
    <row r="219" spans="6:7" ht="12.75">
      <c r="F219" s="8"/>
      <c r="G219" s="8"/>
    </row>
    <row r="220" spans="6:7" ht="12.75">
      <c r="F220" s="8"/>
      <c r="G220" s="8"/>
    </row>
    <row r="221" spans="6:7" ht="12.75">
      <c r="F221" s="8"/>
      <c r="G221" s="8"/>
    </row>
    <row r="222" spans="6:7" ht="12.75">
      <c r="F222" s="8"/>
      <c r="G222" s="8"/>
    </row>
    <row r="223" spans="6:7" ht="12.75">
      <c r="F223" s="8"/>
      <c r="G223" s="8"/>
    </row>
    <row r="224" spans="6:7" ht="12.75">
      <c r="F224" s="8"/>
      <c r="G224" s="8"/>
    </row>
    <row r="225" spans="6:7" ht="12.75">
      <c r="F225" s="8"/>
      <c r="G225" s="8"/>
    </row>
    <row r="226" spans="6:7" ht="12.75">
      <c r="F226" s="8"/>
      <c r="G226" s="8"/>
    </row>
    <row r="227" spans="6:7" ht="12.75">
      <c r="F227" s="8"/>
      <c r="G227" s="8"/>
    </row>
    <row r="228" spans="6:7" ht="12.75">
      <c r="F228" s="8"/>
      <c r="G228" s="8"/>
    </row>
    <row r="229" spans="6:7" ht="12.75">
      <c r="F229" s="8"/>
      <c r="G229" s="8"/>
    </row>
    <row r="230" spans="6:7" ht="12.75">
      <c r="F230" s="8"/>
      <c r="G230" s="8"/>
    </row>
    <row r="231" spans="6:7" ht="12.75">
      <c r="F231" s="8"/>
      <c r="G231" s="8"/>
    </row>
    <row r="232" spans="6:7" ht="12.75">
      <c r="F232" s="8"/>
      <c r="G232" s="8"/>
    </row>
    <row r="233" spans="6:7" ht="12.75">
      <c r="F233" s="8"/>
      <c r="G233" s="8"/>
    </row>
    <row r="234" spans="6:7" ht="12.75">
      <c r="F234" s="8"/>
      <c r="G234" s="8"/>
    </row>
    <row r="235" spans="6:7" ht="12.75">
      <c r="F235" s="8"/>
      <c r="G235" s="8"/>
    </row>
    <row r="236" spans="6:7" ht="12.75">
      <c r="F236" s="8"/>
      <c r="G236" s="8"/>
    </row>
    <row r="237" spans="6:7" ht="12.75">
      <c r="F237" s="8"/>
      <c r="G237" s="8"/>
    </row>
    <row r="238" spans="6:7" ht="12.75">
      <c r="F238" s="8"/>
      <c r="G238" s="8"/>
    </row>
    <row r="239" spans="6:7" ht="12.75">
      <c r="F239" s="8"/>
      <c r="G239" s="8"/>
    </row>
    <row r="240" spans="6:7" ht="12.75">
      <c r="F240" s="8"/>
      <c r="G240" s="8"/>
    </row>
    <row r="241" spans="6:7" ht="12.75">
      <c r="F241" s="8"/>
      <c r="G241" s="8"/>
    </row>
    <row r="242" spans="6:7" ht="12.75">
      <c r="F242" s="8"/>
      <c r="G242" s="8"/>
    </row>
    <row r="243" spans="6:7" ht="12.75">
      <c r="F243" s="8"/>
      <c r="G243" s="8"/>
    </row>
    <row r="244" spans="6:7" ht="12.75">
      <c r="F244" s="8"/>
      <c r="G244" s="8"/>
    </row>
    <row r="245" spans="6:7" ht="12.75">
      <c r="F245" s="8"/>
      <c r="G245" s="8"/>
    </row>
    <row r="246" spans="6:7" ht="12.75">
      <c r="F246" s="8"/>
      <c r="G246" s="8"/>
    </row>
    <row r="247" spans="6:7" ht="12.75">
      <c r="F247" s="8"/>
      <c r="G247" s="8"/>
    </row>
    <row r="248" spans="6:7" ht="12.75">
      <c r="F248" s="8"/>
      <c r="G248" s="8"/>
    </row>
    <row r="249" spans="6:7" ht="12.75">
      <c r="F249" s="8"/>
      <c r="G249" s="8"/>
    </row>
    <row r="250" spans="6:7" ht="12.75">
      <c r="F250" s="8"/>
      <c r="G250" s="8"/>
    </row>
    <row r="251" spans="6:7" ht="12.75">
      <c r="F251" s="8"/>
      <c r="G251" s="8"/>
    </row>
    <row r="252" spans="6:7" ht="12.75">
      <c r="F252" s="8"/>
      <c r="G252" s="8"/>
    </row>
    <row r="253" spans="6:7" ht="12.75">
      <c r="F253" s="8"/>
      <c r="G253" s="8"/>
    </row>
    <row r="254" spans="6:7" ht="12.75">
      <c r="F254" s="8"/>
      <c r="G254" s="8"/>
    </row>
    <row r="255" spans="6:7" ht="12.75">
      <c r="F255" s="8"/>
      <c r="G255" s="8"/>
    </row>
    <row r="256" spans="6:7" ht="12.75">
      <c r="F256" s="8"/>
      <c r="G256" s="8"/>
    </row>
    <row r="257" spans="6:7" ht="12.75">
      <c r="F257" s="8"/>
      <c r="G257" s="8"/>
    </row>
    <row r="258" spans="6:7" ht="12.75">
      <c r="F258" s="8"/>
      <c r="G258" s="8"/>
    </row>
    <row r="259" spans="6:7" ht="12.75">
      <c r="F259" s="8"/>
      <c r="G259" s="8"/>
    </row>
    <row r="260" spans="6:7" ht="12.75">
      <c r="F260" s="8"/>
      <c r="G260" s="8"/>
    </row>
    <row r="261" spans="6:7" ht="12.75">
      <c r="F261" s="8"/>
      <c r="G261" s="8"/>
    </row>
    <row r="262" spans="6:7" ht="12.75">
      <c r="F262" s="8"/>
      <c r="G262" s="8"/>
    </row>
    <row r="263" spans="6:7" ht="12.75">
      <c r="F263" s="8"/>
      <c r="G263" s="8"/>
    </row>
    <row r="264" spans="6:7" ht="12.75">
      <c r="F264" s="8"/>
      <c r="G264" s="8"/>
    </row>
    <row r="265" spans="6:7" ht="12.75">
      <c r="F265" s="8"/>
      <c r="G265" s="8"/>
    </row>
    <row r="266" spans="6:7" ht="12.75">
      <c r="F266" s="8"/>
      <c r="G266" s="8"/>
    </row>
    <row r="267" spans="6:7" ht="12.75">
      <c r="F267" s="8"/>
      <c r="G267" s="8"/>
    </row>
    <row r="268" spans="6:7" ht="12.75">
      <c r="F268" s="8"/>
      <c r="G268" s="8"/>
    </row>
    <row r="269" spans="6:7" ht="12.75">
      <c r="F269" s="8"/>
      <c r="G269" s="8"/>
    </row>
    <row r="270" spans="6:7" ht="12.75">
      <c r="F270" s="8"/>
      <c r="G270" s="8"/>
    </row>
    <row r="271" spans="6:7" ht="12.75">
      <c r="F271" s="8"/>
      <c r="G271" s="8"/>
    </row>
    <row r="272" spans="6:7" ht="12.75">
      <c r="F272" s="8"/>
      <c r="G272" s="8"/>
    </row>
    <row r="273" spans="6:7" ht="12.75">
      <c r="F273" s="8"/>
      <c r="G273" s="8"/>
    </row>
    <row r="274" spans="6:7" ht="12.75">
      <c r="F274" s="8"/>
      <c r="G274" s="8"/>
    </row>
    <row r="275" spans="6:7" ht="12.75">
      <c r="F275" s="8"/>
      <c r="G275" s="8"/>
    </row>
    <row r="276" spans="6:7" ht="12.75">
      <c r="F276" s="8"/>
      <c r="G276" s="8"/>
    </row>
    <row r="277" spans="6:7" ht="12.75">
      <c r="F277" s="8"/>
      <c r="G277" s="8"/>
    </row>
    <row r="278" spans="6:7" ht="12.75">
      <c r="F278" s="8"/>
      <c r="G278" s="8"/>
    </row>
    <row r="279" spans="6:7" ht="12.75">
      <c r="F279" s="8"/>
      <c r="G279" s="8"/>
    </row>
    <row r="280" spans="6:7" ht="12.75">
      <c r="F280" s="8"/>
      <c r="G280" s="8"/>
    </row>
    <row r="281" spans="6:7" ht="12.75">
      <c r="F281" s="8"/>
      <c r="G281" s="8"/>
    </row>
    <row r="282" spans="6:7" ht="12.75">
      <c r="F282" s="8"/>
      <c r="G282" s="8"/>
    </row>
    <row r="283" spans="6:7" ht="12.75">
      <c r="F283" s="8"/>
      <c r="G283" s="8"/>
    </row>
    <row r="284" spans="6:7" ht="12.75">
      <c r="F284" s="8"/>
      <c r="G284" s="8"/>
    </row>
    <row r="285" spans="6:7" ht="12.75">
      <c r="F285" s="8"/>
      <c r="G285" s="8"/>
    </row>
    <row r="286" spans="6:7" ht="12.75">
      <c r="F286" s="8"/>
      <c r="G286" s="8"/>
    </row>
    <row r="287" spans="6:7" ht="12.75">
      <c r="F287" s="8"/>
      <c r="G287" s="8"/>
    </row>
    <row r="288" spans="6:7" ht="12.75">
      <c r="F288" s="8"/>
      <c r="G288" s="8"/>
    </row>
    <row r="289" spans="6:7" ht="12.75">
      <c r="F289" s="8"/>
      <c r="G289" s="8"/>
    </row>
    <row r="290" spans="6:7" ht="12.75">
      <c r="F290" s="8"/>
      <c r="G290" s="8"/>
    </row>
    <row r="291" spans="6:7" ht="12.75">
      <c r="F291" s="8"/>
      <c r="G291" s="8"/>
    </row>
    <row r="292" spans="6:7" ht="12.75">
      <c r="F292" s="8"/>
      <c r="G292" s="8"/>
    </row>
    <row r="293" spans="6:7" ht="12.75">
      <c r="F293" s="8"/>
      <c r="G293" s="8"/>
    </row>
    <row r="294" spans="6:7" ht="12.75">
      <c r="F294" s="8"/>
      <c r="G294" s="8"/>
    </row>
    <row r="295" spans="6:7" ht="12.75">
      <c r="F295" s="8"/>
      <c r="G295" s="8"/>
    </row>
    <row r="296" spans="6:7" ht="12.75">
      <c r="F296" s="8"/>
      <c r="G296" s="8"/>
    </row>
    <row r="297" spans="6:7" ht="12.75">
      <c r="F297" s="8"/>
      <c r="G297" s="8"/>
    </row>
    <row r="298" spans="6:7" ht="12.75">
      <c r="F298" s="8"/>
      <c r="G298" s="8"/>
    </row>
    <row r="299" spans="6:7" ht="12.75">
      <c r="F299" s="8"/>
      <c r="G299" s="8"/>
    </row>
    <row r="300" spans="6:7" ht="12.75">
      <c r="F300" s="8"/>
      <c r="G300" s="8"/>
    </row>
    <row r="301" spans="6:7" ht="12.75">
      <c r="F301" s="8"/>
      <c r="G301" s="8"/>
    </row>
    <row r="302" spans="6:7" ht="12.75">
      <c r="F302" s="8"/>
      <c r="G302" s="8"/>
    </row>
    <row r="303" spans="6:7" ht="12.75">
      <c r="F303" s="8"/>
      <c r="G303" s="8"/>
    </row>
    <row r="304" spans="6:7" ht="12.75">
      <c r="F304" s="8"/>
      <c r="G304" s="8"/>
    </row>
    <row r="305" spans="6:7" ht="12.75">
      <c r="F305" s="8"/>
      <c r="G305" s="8"/>
    </row>
    <row r="306" spans="6:7" ht="12.75">
      <c r="F306" s="8"/>
      <c r="G306" s="8"/>
    </row>
    <row r="307" spans="6:7" ht="12.75">
      <c r="F307" s="8"/>
      <c r="G307" s="8"/>
    </row>
    <row r="308" spans="6:7" ht="12.75">
      <c r="F308" s="8"/>
      <c r="G308" s="8"/>
    </row>
    <row r="309" spans="6:7" ht="12.75">
      <c r="F309" s="8"/>
      <c r="G309" s="8"/>
    </row>
    <row r="310" spans="6:7" ht="12.75">
      <c r="F310" s="8"/>
      <c r="G310" s="8"/>
    </row>
    <row r="311" spans="6:7" ht="12.75">
      <c r="F311" s="8"/>
      <c r="G311" s="8"/>
    </row>
    <row r="312" spans="6:7" ht="12.75">
      <c r="F312" s="8"/>
      <c r="G312" s="8"/>
    </row>
    <row r="313" spans="6:7" ht="12.75">
      <c r="F313" s="8"/>
      <c r="G313" s="8"/>
    </row>
    <row r="314" spans="6:7" ht="12.75">
      <c r="F314" s="8"/>
      <c r="G314" s="8"/>
    </row>
    <row r="315" spans="6:7" ht="12.75">
      <c r="F315" s="8"/>
      <c r="G315" s="8"/>
    </row>
    <row r="316" spans="6:7" ht="12.75">
      <c r="F316" s="8"/>
      <c r="G316" s="8"/>
    </row>
    <row r="317" spans="6:7" ht="12.75">
      <c r="F317" s="8"/>
      <c r="G317" s="8"/>
    </row>
    <row r="318" spans="6:7" ht="12.75">
      <c r="F318" s="8"/>
      <c r="G318" s="8"/>
    </row>
    <row r="319" spans="6:7" ht="12.75">
      <c r="F319" s="8"/>
      <c r="G319" s="8"/>
    </row>
    <row r="320" spans="6:7" ht="12.75">
      <c r="F320" s="8"/>
      <c r="G320" s="8"/>
    </row>
    <row r="321" spans="6:7" ht="12.75">
      <c r="F321" s="8"/>
      <c r="G321" s="8"/>
    </row>
    <row r="322" spans="6:7" ht="12.75">
      <c r="F322" s="8"/>
      <c r="G322" s="8"/>
    </row>
    <row r="323" spans="6:7" ht="12.75">
      <c r="F323" s="8"/>
      <c r="G323" s="8"/>
    </row>
    <row r="324" spans="6:7" ht="12.75">
      <c r="F324" s="8"/>
      <c r="G324" s="8"/>
    </row>
    <row r="325" spans="6:7" ht="12.75">
      <c r="F325" s="8"/>
      <c r="G325" s="8"/>
    </row>
    <row r="326" spans="6:7" ht="12.75">
      <c r="F326" s="8"/>
      <c r="G326" s="8"/>
    </row>
    <row r="327" spans="6:7" ht="12.75">
      <c r="F327" s="8"/>
      <c r="G327" s="8"/>
    </row>
    <row r="328" spans="6:7" ht="12.75">
      <c r="F328" s="8"/>
      <c r="G328" s="8"/>
    </row>
    <row r="329" spans="6:7" ht="12.75">
      <c r="F329" s="8"/>
      <c r="G329" s="8"/>
    </row>
    <row r="330" spans="6:7" ht="12.75">
      <c r="F330" s="8"/>
      <c r="G330" s="8"/>
    </row>
    <row r="331" spans="6:7" ht="12.75">
      <c r="F331" s="8"/>
      <c r="G331" s="8"/>
    </row>
    <row r="332" spans="6:7" ht="12.75">
      <c r="F332" s="8"/>
      <c r="G332" s="8"/>
    </row>
    <row r="333" spans="6:7" ht="12.75">
      <c r="F333" s="8"/>
      <c r="G333" s="8"/>
    </row>
    <row r="334" spans="6:7" ht="12.75">
      <c r="F334" s="8"/>
      <c r="G334" s="8"/>
    </row>
    <row r="335" spans="6:7" ht="12.75">
      <c r="F335" s="8"/>
      <c r="G335" s="8"/>
    </row>
    <row r="336" spans="6:7" ht="12.75">
      <c r="F336" s="8"/>
      <c r="G336" s="8"/>
    </row>
    <row r="337" spans="6:7" ht="12.75">
      <c r="F337" s="8"/>
      <c r="G337" s="8"/>
    </row>
    <row r="338" spans="6:7" ht="12.75">
      <c r="F338" s="8"/>
      <c r="G338" s="8"/>
    </row>
    <row r="339" spans="6:7" ht="12.75">
      <c r="F339" s="8"/>
      <c r="G339" s="8"/>
    </row>
    <row r="340" spans="6:7" ht="12.75">
      <c r="F340" s="8"/>
      <c r="G340" s="8"/>
    </row>
    <row r="341" spans="6:7" ht="12.75">
      <c r="F341" s="8"/>
      <c r="G341" s="8"/>
    </row>
    <row r="342" spans="6:7" ht="12.75">
      <c r="F342" s="8"/>
      <c r="G342" s="8"/>
    </row>
    <row r="343" spans="6:7" ht="12.75">
      <c r="F343" s="8"/>
      <c r="G343" s="8"/>
    </row>
    <row r="344" spans="6:7" ht="12.75">
      <c r="F344" s="8"/>
      <c r="G344" s="8"/>
    </row>
    <row r="345" spans="6:7" ht="12.75">
      <c r="F345" s="8"/>
      <c r="G345" s="8"/>
    </row>
    <row r="346" spans="6:7" ht="12.75">
      <c r="F346" s="8"/>
      <c r="G346" s="8"/>
    </row>
    <row r="347" spans="6:7" ht="12.75">
      <c r="F347" s="8"/>
      <c r="G347" s="8"/>
    </row>
    <row r="348" spans="6:7" ht="12.75">
      <c r="F348" s="8"/>
      <c r="G348" s="8"/>
    </row>
    <row r="349" spans="6:7" ht="12.75">
      <c r="F349" s="8"/>
      <c r="G349" s="8"/>
    </row>
    <row r="350" spans="6:7" ht="12.75">
      <c r="F350" s="8"/>
      <c r="G350" s="8"/>
    </row>
    <row r="351" spans="6:7" ht="12.75">
      <c r="F351" s="8"/>
      <c r="G351" s="8"/>
    </row>
    <row r="352" spans="6:7" ht="12.75">
      <c r="F352" s="8"/>
      <c r="G352" s="8"/>
    </row>
    <row r="353" spans="6:7" ht="12.75">
      <c r="F353" s="8"/>
      <c r="G353" s="8"/>
    </row>
    <row r="354" spans="6:7" ht="12.75">
      <c r="F354" s="8"/>
      <c r="G354" s="8"/>
    </row>
    <row r="355" spans="6:7" ht="12.75">
      <c r="F355" s="8"/>
      <c r="G355" s="8"/>
    </row>
    <row r="356" spans="6:7" ht="12.75">
      <c r="F356" s="8"/>
      <c r="G356" s="8"/>
    </row>
    <row r="357" spans="6:7" ht="12.75">
      <c r="F357" s="8"/>
      <c r="G357" s="8"/>
    </row>
    <row r="358" spans="6:7" ht="12.75">
      <c r="F358" s="8"/>
      <c r="G358" s="8"/>
    </row>
    <row r="359" spans="6:7" ht="12.75">
      <c r="F359" s="8"/>
      <c r="G359" s="8"/>
    </row>
    <row r="360" spans="6:7" ht="12.75">
      <c r="F360" s="8"/>
      <c r="G360" s="8"/>
    </row>
    <row r="361" spans="6:7" ht="12.75">
      <c r="F361" s="8"/>
      <c r="G361" s="8"/>
    </row>
    <row r="362" spans="6:7" ht="12.75">
      <c r="F362" s="8"/>
      <c r="G362" s="8"/>
    </row>
    <row r="363" spans="6:7" ht="12.75">
      <c r="F363" s="8"/>
      <c r="G363" s="8"/>
    </row>
    <row r="364" spans="6:7" ht="12.75">
      <c r="F364" s="8"/>
      <c r="G364" s="8"/>
    </row>
    <row r="365" spans="6:7" ht="12.75">
      <c r="F365" s="8"/>
      <c r="G365" s="8"/>
    </row>
    <row r="366" spans="6:7" ht="12.75">
      <c r="F366" s="8"/>
      <c r="G366" s="8"/>
    </row>
    <row r="367" spans="6:7" ht="12.75">
      <c r="F367" s="8"/>
      <c r="G367" s="8"/>
    </row>
    <row r="368" spans="6:7" ht="12.75">
      <c r="F368" s="8"/>
      <c r="G368" s="8"/>
    </row>
    <row r="369" spans="6:7" ht="12.75">
      <c r="F369" s="8"/>
      <c r="G369" s="8"/>
    </row>
    <row r="370" spans="6:7" ht="12.75">
      <c r="F370" s="8"/>
      <c r="G370" s="8"/>
    </row>
    <row r="371" spans="6:7" ht="12.75">
      <c r="F371" s="8"/>
      <c r="G371" s="8"/>
    </row>
    <row r="372" spans="6:7" ht="12.75">
      <c r="F372" s="8"/>
      <c r="G372" s="8"/>
    </row>
    <row r="373" spans="6:7" ht="12.75">
      <c r="F373" s="8"/>
      <c r="G373" s="8"/>
    </row>
    <row r="374" spans="6:7" ht="12.75">
      <c r="F374" s="8"/>
      <c r="G374" s="8"/>
    </row>
    <row r="375" spans="6:7" ht="12.75">
      <c r="F375" s="8"/>
      <c r="G375" s="8"/>
    </row>
    <row r="376" spans="6:7" ht="12.75">
      <c r="F376" s="8"/>
      <c r="G376" s="8"/>
    </row>
    <row r="377" spans="6:7" ht="12.75">
      <c r="F377" s="8"/>
      <c r="G377" s="8"/>
    </row>
    <row r="378" spans="6:7" ht="12.75">
      <c r="F378" s="8"/>
      <c r="G378" s="8"/>
    </row>
    <row r="379" spans="6:7" ht="12.75">
      <c r="F379" s="8"/>
      <c r="G379" s="8"/>
    </row>
    <row r="380" spans="6:7" ht="12.75">
      <c r="F380" s="8"/>
      <c r="G380" s="8"/>
    </row>
    <row r="381" spans="6:7" ht="12.75">
      <c r="F381" s="8"/>
      <c r="G381" s="8"/>
    </row>
    <row r="382" spans="6:7" ht="12.75">
      <c r="F382" s="8"/>
      <c r="G382" s="8"/>
    </row>
    <row r="383" spans="6:7" ht="12.75">
      <c r="F383" s="8"/>
      <c r="G383" s="8"/>
    </row>
    <row r="384" spans="6:7" ht="12.75">
      <c r="F384" s="8"/>
      <c r="G384" s="8"/>
    </row>
    <row r="385" spans="6:7" ht="12.75">
      <c r="F385" s="8"/>
      <c r="G385" s="8"/>
    </row>
    <row r="386" spans="6:7" ht="12.75">
      <c r="F386" s="8"/>
      <c r="G386" s="8"/>
    </row>
    <row r="387" spans="6:7" ht="12.75">
      <c r="F387" s="8"/>
      <c r="G387" s="8"/>
    </row>
    <row r="388" spans="6:7" ht="12.75">
      <c r="F388" s="8"/>
      <c r="G388" s="8"/>
    </row>
    <row r="389" spans="6:7" ht="12.75">
      <c r="F389" s="8"/>
      <c r="G389" s="8"/>
    </row>
    <row r="390" spans="6:7" ht="12.75">
      <c r="F390" s="8"/>
      <c r="G390" s="8"/>
    </row>
    <row r="391" spans="6:7" ht="12.75">
      <c r="F391" s="8"/>
      <c r="G391" s="8"/>
    </row>
    <row r="392" spans="6:7" ht="12.75">
      <c r="F392" s="8"/>
      <c r="G392" s="8"/>
    </row>
    <row r="393" spans="6:7" ht="12.75">
      <c r="F393" s="8"/>
      <c r="G393" s="8"/>
    </row>
    <row r="394" spans="6:7" ht="12.75">
      <c r="F394" s="8"/>
      <c r="G394" s="8"/>
    </row>
    <row r="395" spans="6:7" ht="12.75">
      <c r="F395" s="8"/>
      <c r="G395" s="8"/>
    </row>
    <row r="396" spans="6:7" ht="12.75">
      <c r="F396" s="8"/>
      <c r="G396" s="8"/>
    </row>
    <row r="397" spans="6:7" ht="12.75">
      <c r="F397" s="8"/>
      <c r="G397" s="8"/>
    </row>
    <row r="398" spans="6:7" ht="12.75">
      <c r="F398" s="8"/>
      <c r="G398" s="8"/>
    </row>
    <row r="399" spans="6:7" ht="12.75">
      <c r="F399" s="8"/>
      <c r="G399" s="8"/>
    </row>
    <row r="400" spans="6:7" ht="12.75">
      <c r="F400" s="8"/>
      <c r="G400" s="8"/>
    </row>
    <row r="401" spans="6:7" ht="12.75">
      <c r="F401" s="8"/>
      <c r="G401" s="8"/>
    </row>
    <row r="402" spans="6:7" ht="12.75">
      <c r="F402" s="8"/>
      <c r="G402" s="8"/>
    </row>
    <row r="403" spans="6:7" ht="12.75">
      <c r="F403" s="8"/>
      <c r="G403" s="8"/>
    </row>
    <row r="404" spans="6:7" ht="12.75">
      <c r="F404" s="8"/>
      <c r="G404" s="8"/>
    </row>
    <row r="405" spans="6:7" ht="12.75">
      <c r="F405" s="8"/>
      <c r="G405" s="8"/>
    </row>
    <row r="406" spans="6:7" ht="12.75">
      <c r="F406" s="8"/>
      <c r="G406" s="8"/>
    </row>
    <row r="407" spans="6:7" ht="12.75">
      <c r="F407" s="8"/>
      <c r="G407" s="8"/>
    </row>
    <row r="408" spans="6:7" ht="12.75">
      <c r="F408" s="8"/>
      <c r="G408" s="8"/>
    </row>
    <row r="409" spans="6:7" ht="12.75">
      <c r="F409" s="8"/>
      <c r="G409" s="8"/>
    </row>
    <row r="410" spans="6:7" ht="12.75">
      <c r="F410" s="8"/>
      <c r="G410" s="8"/>
    </row>
    <row r="411" spans="6:7" ht="12.75">
      <c r="F411" s="8"/>
      <c r="G411" s="8"/>
    </row>
    <row r="412" spans="6:7" ht="12.75">
      <c r="F412" s="8"/>
      <c r="G412" s="8"/>
    </row>
    <row r="413" spans="6:7" ht="12.75">
      <c r="F413" s="8"/>
      <c r="G413" s="8"/>
    </row>
    <row r="414" spans="6:7" ht="12.75">
      <c r="F414" s="8"/>
      <c r="G414" s="8"/>
    </row>
    <row r="415" spans="6:7" ht="12.75">
      <c r="F415" s="8"/>
      <c r="G415" s="8"/>
    </row>
    <row r="416" spans="6:7" ht="12.75">
      <c r="F416" s="8"/>
      <c r="G416" s="8"/>
    </row>
    <row r="417" spans="6:7" ht="12.75">
      <c r="F417" s="8"/>
      <c r="G417" s="8"/>
    </row>
    <row r="418" spans="6:7" ht="12.75">
      <c r="F418" s="8"/>
      <c r="G418" s="8"/>
    </row>
    <row r="419" spans="6:7" ht="12.75">
      <c r="F419" s="8"/>
      <c r="G419" s="8"/>
    </row>
    <row r="420" spans="6:7" ht="12.75">
      <c r="F420" s="8"/>
      <c r="G420" s="8"/>
    </row>
    <row r="421" spans="6:7" ht="12.75">
      <c r="F421" s="8"/>
      <c r="G421" s="8"/>
    </row>
    <row r="422" spans="6:7" ht="12.75">
      <c r="F422" s="8"/>
      <c r="G422" s="8"/>
    </row>
    <row r="423" spans="6:7" ht="12.75">
      <c r="F423" s="8"/>
      <c r="G423" s="8"/>
    </row>
    <row r="424" spans="6:7" ht="12.75">
      <c r="F424" s="8"/>
      <c r="G424" s="8"/>
    </row>
    <row r="425" spans="6:7" ht="12.75">
      <c r="F425" s="8"/>
      <c r="G425" s="8"/>
    </row>
    <row r="426" spans="6:7" ht="12.75">
      <c r="F426" s="8"/>
      <c r="G426" s="8"/>
    </row>
    <row r="427" spans="6:7" ht="12.75">
      <c r="F427" s="8"/>
      <c r="G427" s="8"/>
    </row>
    <row r="428" spans="6:7" ht="12.75">
      <c r="F428" s="8"/>
      <c r="G428" s="8"/>
    </row>
    <row r="429" spans="6:7" ht="12.75">
      <c r="F429" s="8"/>
      <c r="G429" s="8"/>
    </row>
    <row r="430" spans="6:7" ht="12.75">
      <c r="F430" s="8"/>
      <c r="G430" s="8"/>
    </row>
    <row r="431" spans="6:7" ht="12.75">
      <c r="F431" s="8"/>
      <c r="G431" s="8"/>
    </row>
    <row r="432" spans="6:7" ht="12.75">
      <c r="F432" s="8"/>
      <c r="G432" s="8"/>
    </row>
    <row r="433" spans="6:7" ht="12.75">
      <c r="F433" s="8"/>
      <c r="G433" s="8"/>
    </row>
    <row r="434" spans="6:7" ht="12.75">
      <c r="F434" s="8"/>
      <c r="G434" s="8"/>
    </row>
    <row r="435" spans="6:7" ht="12.75">
      <c r="F435" s="8"/>
      <c r="G435" s="8"/>
    </row>
    <row r="436" spans="6:7" ht="12.75">
      <c r="F436" s="8"/>
      <c r="G436" s="8"/>
    </row>
    <row r="437" spans="6:7" ht="12.75">
      <c r="F437" s="8"/>
      <c r="G437" s="8"/>
    </row>
    <row r="438" spans="6:7" ht="12.75">
      <c r="F438" s="8"/>
      <c r="G438" s="8"/>
    </row>
    <row r="439" spans="6:7" ht="12.75">
      <c r="F439" s="8"/>
      <c r="G439" s="8"/>
    </row>
  </sheetData>
  <sheetProtection/>
  <mergeCells count="22">
    <mergeCell ref="A23:E23"/>
    <mergeCell ref="A32:E32"/>
    <mergeCell ref="A4:E4"/>
    <mergeCell ref="A5:E5"/>
    <mergeCell ref="A6:E6"/>
    <mergeCell ref="A12:D1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64:D64"/>
    <mergeCell ref="A54:D54"/>
    <mergeCell ref="A56:E56"/>
    <mergeCell ref="A58:D58"/>
    <mergeCell ref="A60:E60"/>
    <mergeCell ref="A62:D6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J37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27" customHeight="1"/>
  <cols>
    <col min="1" max="1" width="13.8515625" style="91" customWidth="1"/>
    <col min="2" max="2" width="50.8515625" style="91" customWidth="1"/>
    <col min="3" max="3" width="12.8515625" style="91" customWidth="1"/>
    <col min="4" max="4" width="12.7109375" style="98" customWidth="1"/>
    <col min="5" max="5" width="13.00390625" style="98" customWidth="1"/>
    <col min="6" max="16384" width="9.140625" style="91" customWidth="1"/>
  </cols>
  <sheetData>
    <row r="1" ht="27" customHeight="1">
      <c r="B1" s="94" t="s">
        <v>130</v>
      </c>
    </row>
    <row r="2" spans="1:4" ht="32.25" customHeight="1">
      <c r="A2" s="1384" t="s">
        <v>377</v>
      </c>
      <c r="B2" s="1384"/>
      <c r="C2" s="1384"/>
      <c r="D2" s="530"/>
    </row>
    <row r="3" ht="27" customHeight="1">
      <c r="E3" s="531" t="s">
        <v>159</v>
      </c>
    </row>
    <row r="4" spans="1:5" ht="15">
      <c r="A4" s="299">
        <v>511111</v>
      </c>
      <c r="B4" s="299" t="s">
        <v>30</v>
      </c>
      <c r="C4" s="526"/>
      <c r="D4" s="526">
        <f>+ROUND(C4,-3)/1000</f>
        <v>0</v>
      </c>
      <c r="E4" s="526">
        <f>+D4</f>
        <v>0</v>
      </c>
    </row>
    <row r="5" spans="1:5" s="30" customFormat="1" ht="15.75">
      <c r="A5" s="299">
        <v>511121</v>
      </c>
      <c r="B5" s="299" t="s">
        <v>1195</v>
      </c>
      <c r="C5" s="526"/>
      <c r="D5" s="526"/>
      <c r="E5" s="526"/>
    </row>
    <row r="6" spans="1:5" ht="15">
      <c r="A6" s="299">
        <v>511141</v>
      </c>
      <c r="B6" s="299" t="s">
        <v>33</v>
      </c>
      <c r="C6" s="526"/>
      <c r="D6" s="526"/>
      <c r="E6" s="526"/>
    </row>
    <row r="7" spans="1:5" ht="15">
      <c r="A7" s="299">
        <v>512191</v>
      </c>
      <c r="B7" s="299" t="s">
        <v>1196</v>
      </c>
      <c r="C7" s="526">
        <v>0</v>
      </c>
      <c r="D7" s="526">
        <f>+ROUND(C7,-3)/1000</f>
        <v>0</v>
      </c>
      <c r="E7" s="526">
        <f>+D7</f>
        <v>0</v>
      </c>
    </row>
    <row r="8" spans="1:5" ht="15">
      <c r="A8" s="299">
        <v>51311</v>
      </c>
      <c r="B8" s="299" t="s">
        <v>1003</v>
      </c>
      <c r="C8" s="526">
        <v>0</v>
      </c>
      <c r="D8" s="526">
        <f>+ROUND(C8,-3)/1000</f>
        <v>0</v>
      </c>
      <c r="E8" s="526">
        <f>+D8</f>
        <v>0</v>
      </c>
    </row>
    <row r="9" spans="1:5" ht="15">
      <c r="A9" s="299">
        <v>513121</v>
      </c>
      <c r="B9" s="299" t="s">
        <v>1002</v>
      </c>
      <c r="C9" s="526"/>
      <c r="D9" s="526"/>
      <c r="E9" s="526"/>
    </row>
    <row r="10" spans="1:5" ht="15">
      <c r="A10" s="299">
        <v>513131</v>
      </c>
      <c r="B10" s="299" t="s">
        <v>1064</v>
      </c>
      <c r="C10" s="526"/>
      <c r="D10" s="526"/>
      <c r="E10" s="526"/>
    </row>
    <row r="11" spans="1:5" ht="15">
      <c r="A11" s="299">
        <v>5131912</v>
      </c>
      <c r="B11" s="299" t="s">
        <v>452</v>
      </c>
      <c r="C11" s="526"/>
      <c r="D11" s="526"/>
      <c r="E11" s="526"/>
    </row>
    <row r="12" spans="1:10" ht="15">
      <c r="A12" s="299">
        <v>514111</v>
      </c>
      <c r="B12" s="299" t="s">
        <v>38</v>
      </c>
      <c r="C12" s="526"/>
      <c r="D12" s="526"/>
      <c r="E12" s="526"/>
      <c r="J12" s="91" t="s">
        <v>794</v>
      </c>
    </row>
    <row r="13" spans="1:5" ht="15">
      <c r="A13" s="299">
        <v>514121</v>
      </c>
      <c r="B13" s="299" t="s">
        <v>1194</v>
      </c>
      <c r="C13" s="526"/>
      <c r="D13" s="526"/>
      <c r="E13" s="526"/>
    </row>
    <row r="14" spans="1:5" ht="15">
      <c r="A14" s="299">
        <v>514131</v>
      </c>
      <c r="B14" s="299" t="s">
        <v>1065</v>
      </c>
      <c r="C14" s="526"/>
      <c r="D14" s="526"/>
      <c r="E14" s="526"/>
    </row>
    <row r="15" spans="1:5" ht="15">
      <c r="A15" s="299">
        <v>5141</v>
      </c>
      <c r="B15" s="299" t="s">
        <v>1295</v>
      </c>
      <c r="C15" s="526"/>
      <c r="D15" s="526"/>
      <c r="E15" s="526"/>
    </row>
    <row r="16" spans="1:5" ht="15">
      <c r="A16" s="299">
        <v>514191</v>
      </c>
      <c r="B16" s="299" t="s">
        <v>453</v>
      </c>
      <c r="C16" s="526">
        <v>0</v>
      </c>
      <c r="D16" s="526">
        <f>+ROUND(C16,-3)/1000</f>
        <v>0</v>
      </c>
      <c r="E16" s="526">
        <f>+D16</f>
        <v>0</v>
      </c>
    </row>
    <row r="17" spans="1:5" s="90" customFormat="1" ht="15.75">
      <c r="A17" s="527" t="s">
        <v>1479</v>
      </c>
      <c r="B17" s="528" t="s">
        <v>1066</v>
      </c>
      <c r="C17" s="529">
        <f>SUM(C4:C16)</f>
        <v>0</v>
      </c>
      <c r="D17" s="529"/>
      <c r="E17" s="529">
        <f>SUM(E4:E16)</f>
        <v>0</v>
      </c>
    </row>
    <row r="18" spans="1:5" ht="15.75">
      <c r="A18" s="299">
        <v>53111</v>
      </c>
      <c r="B18" s="299" t="s">
        <v>144</v>
      </c>
      <c r="C18" s="93">
        <f>(C4+C6+C10)*0.24</f>
        <v>0</v>
      </c>
      <c r="D18" s="93"/>
      <c r="E18" s="93"/>
    </row>
    <row r="19" spans="1:5" ht="15.75" customHeight="1">
      <c r="A19" s="533">
        <v>53112</v>
      </c>
      <c r="B19" s="533" t="s">
        <v>1198</v>
      </c>
      <c r="C19" s="526">
        <f>(C4+C6+C10)*0.03</f>
        <v>0</v>
      </c>
      <c r="D19" s="526">
        <f>+ROUND(C19,-3)/1000</f>
        <v>0</v>
      </c>
      <c r="E19" s="526">
        <f>+D19</f>
        <v>0</v>
      </c>
    </row>
    <row r="20" spans="1:5" s="90" customFormat="1" ht="15.75" customHeight="1">
      <c r="A20" s="532">
        <v>53</v>
      </c>
      <c r="B20" s="528" t="s">
        <v>1370</v>
      </c>
      <c r="C20" s="529">
        <f>SUM(C18:C19)</f>
        <v>0</v>
      </c>
      <c r="D20" s="529"/>
      <c r="E20" s="529">
        <f>SUM(E18:E19)</f>
        <v>0</v>
      </c>
    </row>
    <row r="21" spans="1:5" ht="15.75" customHeight="1">
      <c r="A21" s="92"/>
      <c r="B21" s="92"/>
      <c r="C21" s="93"/>
      <c r="D21" s="93"/>
      <c r="E21" s="93"/>
    </row>
    <row r="22" spans="1:5" ht="15.75" customHeight="1">
      <c r="A22" s="299">
        <v>5431</v>
      </c>
      <c r="B22" s="299" t="s">
        <v>1067</v>
      </c>
      <c r="C22" s="526"/>
      <c r="D22" s="526"/>
      <c r="E22" s="526"/>
    </row>
    <row r="23" spans="1:5" ht="15.75" customHeight="1">
      <c r="A23" s="299">
        <v>54411</v>
      </c>
      <c r="B23" s="299" t="s">
        <v>1068</v>
      </c>
      <c r="C23" s="526"/>
      <c r="D23" s="526"/>
      <c r="E23" s="526"/>
    </row>
    <row r="24" spans="1:5" ht="15.75" customHeight="1">
      <c r="A24" s="299">
        <v>54412</v>
      </c>
      <c r="B24" s="299" t="s">
        <v>454</v>
      </c>
      <c r="C24" s="526"/>
      <c r="D24" s="526"/>
      <c r="E24" s="526"/>
    </row>
    <row r="25" spans="1:5" ht="15.75" customHeight="1">
      <c r="A25" s="299">
        <v>54712</v>
      </c>
      <c r="B25" s="299" t="s">
        <v>1069</v>
      </c>
      <c r="C25" s="526"/>
      <c r="D25" s="526"/>
      <c r="E25" s="526"/>
    </row>
    <row r="26" spans="1:5" ht="15.75" customHeight="1">
      <c r="A26" s="299">
        <v>5491</v>
      </c>
      <c r="B26" s="299" t="s">
        <v>1296</v>
      </c>
      <c r="C26" s="526"/>
      <c r="D26" s="526"/>
      <c r="E26" s="526"/>
    </row>
    <row r="27" spans="1:5" ht="15.75" customHeight="1">
      <c r="A27" s="299">
        <v>55111</v>
      </c>
      <c r="B27" s="299" t="s">
        <v>1070</v>
      </c>
      <c r="C27" s="526"/>
      <c r="D27" s="526"/>
      <c r="E27" s="526"/>
    </row>
    <row r="28" spans="1:5" ht="15.75" customHeight="1">
      <c r="A28" s="299">
        <v>55213</v>
      </c>
      <c r="B28" s="299" t="s">
        <v>1430</v>
      </c>
      <c r="C28" s="526"/>
      <c r="D28" s="526"/>
      <c r="E28" s="526"/>
    </row>
    <row r="29" spans="1:5" ht="15.75" customHeight="1">
      <c r="A29" s="299">
        <v>55219</v>
      </c>
      <c r="B29" s="299" t="s">
        <v>1071</v>
      </c>
      <c r="C29" s="526"/>
      <c r="D29" s="526"/>
      <c r="E29" s="526"/>
    </row>
    <row r="30" spans="1:5" ht="15.75" customHeight="1">
      <c r="A30" s="299">
        <v>56111</v>
      </c>
      <c r="B30" s="299" t="s">
        <v>1072</v>
      </c>
      <c r="C30" s="526"/>
      <c r="D30" s="526"/>
      <c r="E30" s="526"/>
    </row>
    <row r="31" spans="1:5" ht="15.75" customHeight="1">
      <c r="A31" s="299">
        <v>56211</v>
      </c>
      <c r="B31" s="299" t="s">
        <v>995</v>
      </c>
      <c r="C31" s="526"/>
      <c r="D31" s="526"/>
      <c r="E31" s="526"/>
    </row>
    <row r="32" spans="1:5" ht="15.75" customHeight="1">
      <c r="A32" s="299">
        <v>56213</v>
      </c>
      <c r="B32" s="299" t="s">
        <v>996</v>
      </c>
      <c r="C32" s="526"/>
      <c r="D32" s="526"/>
      <c r="E32" s="526"/>
    </row>
    <row r="33" spans="1:5" ht="15.75" customHeight="1">
      <c r="A33" s="299">
        <v>57211</v>
      </c>
      <c r="B33" s="299" t="s">
        <v>1199</v>
      </c>
      <c r="C33" s="526"/>
      <c r="D33" s="526"/>
      <c r="E33" s="526"/>
    </row>
    <row r="34" spans="1:5" ht="15.75" customHeight="1">
      <c r="A34" s="299">
        <v>57213</v>
      </c>
      <c r="B34" s="299" t="s">
        <v>796</v>
      </c>
      <c r="C34" s="526"/>
      <c r="D34" s="526"/>
      <c r="E34" s="526"/>
    </row>
    <row r="35" spans="1:5" s="90" customFormat="1" ht="15.75" customHeight="1">
      <c r="A35" s="92"/>
      <c r="B35" s="92" t="s">
        <v>1073</v>
      </c>
      <c r="C35" s="93">
        <f>SUM(C22:C34)</f>
        <v>0</v>
      </c>
      <c r="D35" s="93"/>
      <c r="E35" s="93">
        <f>SUM(E22:E34)</f>
        <v>0</v>
      </c>
    </row>
    <row r="36" spans="1:5" s="90" customFormat="1" ht="15.75" customHeight="1">
      <c r="A36" s="92"/>
      <c r="B36" s="92"/>
      <c r="C36" s="92"/>
      <c r="D36" s="93"/>
      <c r="E36" s="93"/>
    </row>
    <row r="37" spans="1:5" s="90" customFormat="1" ht="15.75" customHeight="1">
      <c r="A37" s="92"/>
      <c r="B37" s="92" t="s">
        <v>1074</v>
      </c>
      <c r="C37" s="93">
        <f>C17+C20+C35</f>
        <v>0</v>
      </c>
      <c r="D37" s="93"/>
      <c r="E37" s="93">
        <f>E17+E20+E35</f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2:AB1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1" max="1" width="3.28125" style="0" customWidth="1"/>
    <col min="2" max="2" width="38.140625" style="0" bestFit="1" customWidth="1"/>
    <col min="3" max="3" width="11.57421875" style="0" bestFit="1" customWidth="1"/>
    <col min="4" max="4" width="12.28125" style="0" bestFit="1" customWidth="1"/>
    <col min="7" max="7" width="9.7109375" style="0" bestFit="1" customWidth="1"/>
    <col min="8" max="8" width="10.7109375" style="0" bestFit="1" customWidth="1"/>
    <col min="17" max="17" width="13.7109375" style="0" bestFit="1" customWidth="1"/>
    <col min="19" max="19" width="11.421875" style="0" bestFit="1" customWidth="1"/>
    <col min="20" max="20" width="10.28125" style="0" bestFit="1" customWidth="1"/>
    <col min="21" max="21" width="19.7109375" style="0" bestFit="1" customWidth="1"/>
    <col min="23" max="23" width="9.00390625" style="0" bestFit="1" customWidth="1"/>
    <col min="24" max="24" width="13.140625" style="0" bestFit="1" customWidth="1"/>
    <col min="25" max="25" width="10.140625" style="0" bestFit="1" customWidth="1"/>
    <col min="27" max="27" width="16.00390625" style="0" bestFit="1" customWidth="1"/>
  </cols>
  <sheetData>
    <row r="2" spans="1:28" ht="15">
      <c r="A2" s="774" t="s">
        <v>816</v>
      </c>
      <c r="B2" s="537" t="s">
        <v>79</v>
      </c>
      <c r="C2" s="590"/>
      <c r="D2" s="591" t="s">
        <v>34</v>
      </c>
      <c r="E2" s="523" t="s">
        <v>948</v>
      </c>
      <c r="F2" s="592" t="s">
        <v>949</v>
      </c>
      <c r="G2" s="592" t="s">
        <v>950</v>
      </c>
      <c r="H2" s="592" t="s">
        <v>951</v>
      </c>
      <c r="I2" s="592" t="s">
        <v>952</v>
      </c>
      <c r="J2" s="592" t="s">
        <v>953</v>
      </c>
      <c r="K2" s="592" t="s">
        <v>954</v>
      </c>
      <c r="L2" s="592" t="s">
        <v>955</v>
      </c>
      <c r="M2" s="592" t="s">
        <v>1077</v>
      </c>
      <c r="N2" s="592" t="s">
        <v>1078</v>
      </c>
      <c r="O2" s="592" t="s">
        <v>1079</v>
      </c>
      <c r="P2" s="592" t="s">
        <v>1080</v>
      </c>
      <c r="Q2" s="523" t="s">
        <v>121</v>
      </c>
      <c r="R2" s="592" t="s">
        <v>152</v>
      </c>
      <c r="S2" s="592" t="s">
        <v>1001</v>
      </c>
      <c r="T2" s="592" t="s">
        <v>125</v>
      </c>
      <c r="U2" s="592" t="s">
        <v>153</v>
      </c>
      <c r="V2" s="592" t="s">
        <v>102</v>
      </c>
      <c r="W2" s="592" t="s">
        <v>455</v>
      </c>
      <c r="X2" s="592" t="s">
        <v>122</v>
      </c>
      <c r="Y2" s="656"/>
      <c r="Z2" s="545" t="s">
        <v>256</v>
      </c>
      <c r="AA2" s="545" t="s">
        <v>101</v>
      </c>
      <c r="AB2" s="264"/>
    </row>
    <row r="3" spans="1:28" ht="15">
      <c r="A3" s="774" t="s">
        <v>779</v>
      </c>
      <c r="B3" s="266" t="s">
        <v>1500</v>
      </c>
      <c r="C3" s="933"/>
      <c r="D3" s="776" t="s">
        <v>1506</v>
      </c>
      <c r="E3" s="522">
        <v>350000</v>
      </c>
      <c r="F3" s="522">
        <v>350000</v>
      </c>
      <c r="G3" s="522">
        <v>350000</v>
      </c>
      <c r="H3" s="522">
        <v>350000</v>
      </c>
      <c r="I3" s="522">
        <v>350000</v>
      </c>
      <c r="J3" s="522">
        <v>350000</v>
      </c>
      <c r="K3" s="522">
        <v>350000</v>
      </c>
      <c r="L3" s="522">
        <v>350000</v>
      </c>
      <c r="M3" s="522">
        <v>350000</v>
      </c>
      <c r="N3" s="522">
        <v>350000</v>
      </c>
      <c r="O3" s="522">
        <v>350000</v>
      </c>
      <c r="P3" s="522">
        <v>350000</v>
      </c>
      <c r="Q3" s="524">
        <f aca="true" t="shared" si="0" ref="Q3:Q8">SUBTOTAL(9,E3:P3)</f>
        <v>4200000</v>
      </c>
      <c r="R3" s="592"/>
      <c r="S3" s="592"/>
      <c r="T3" s="592"/>
      <c r="U3" s="592"/>
      <c r="V3" s="592"/>
      <c r="W3" s="592"/>
      <c r="X3" s="945"/>
      <c r="Y3" s="949">
        <f aca="true" t="shared" si="1" ref="Y3:Y8">Q3+R3+S3+U3+V3+W3+X3</f>
        <v>4200000</v>
      </c>
      <c r="Z3" s="545"/>
      <c r="AA3" s="545"/>
      <c r="AB3" s="264"/>
    </row>
    <row r="4" spans="1:28" ht="15">
      <c r="A4" s="774" t="s">
        <v>780</v>
      </c>
      <c r="B4" s="519" t="s">
        <v>126</v>
      </c>
      <c r="C4" s="933"/>
      <c r="D4" s="946"/>
      <c r="E4" s="947">
        <v>114000</v>
      </c>
      <c r="F4" s="947">
        <v>114000</v>
      </c>
      <c r="G4" s="947">
        <v>114000</v>
      </c>
      <c r="H4" s="947">
        <v>114000</v>
      </c>
      <c r="I4" s="947">
        <v>114000</v>
      </c>
      <c r="J4" s="947">
        <v>114000</v>
      </c>
      <c r="K4" s="947">
        <v>114000</v>
      </c>
      <c r="L4" s="947">
        <v>114000</v>
      </c>
      <c r="M4" s="947">
        <v>114000</v>
      </c>
      <c r="N4" s="947">
        <v>114000</v>
      </c>
      <c r="O4" s="947">
        <v>114000</v>
      </c>
      <c r="P4" s="947">
        <v>114000</v>
      </c>
      <c r="Q4" s="524">
        <f t="shared" si="0"/>
        <v>1368000</v>
      </c>
      <c r="R4" s="592"/>
      <c r="S4" s="592"/>
      <c r="T4" s="592"/>
      <c r="U4" s="592"/>
      <c r="V4" s="592"/>
      <c r="W4" s="592"/>
      <c r="X4" s="945"/>
      <c r="Y4" s="949">
        <f t="shared" si="1"/>
        <v>1368000</v>
      </c>
      <c r="Z4" s="545"/>
      <c r="AA4" s="545"/>
      <c r="AB4" s="264"/>
    </row>
    <row r="5" spans="1:28" ht="15">
      <c r="A5" s="774" t="s">
        <v>781</v>
      </c>
      <c r="B5" s="599" t="s">
        <v>1501</v>
      </c>
      <c r="C5" s="933"/>
      <c r="D5" s="946" t="s">
        <v>1505</v>
      </c>
      <c r="E5" s="522">
        <v>153300</v>
      </c>
      <c r="F5" s="522">
        <v>153300</v>
      </c>
      <c r="G5" s="522">
        <v>153300</v>
      </c>
      <c r="H5" s="522">
        <v>153300</v>
      </c>
      <c r="I5" s="522">
        <v>153300</v>
      </c>
      <c r="J5" s="522">
        <v>153300</v>
      </c>
      <c r="K5" s="522">
        <v>153300</v>
      </c>
      <c r="L5" s="522">
        <v>153300</v>
      </c>
      <c r="M5" s="522">
        <v>153300</v>
      </c>
      <c r="N5" s="522">
        <v>153300</v>
      </c>
      <c r="O5" s="522">
        <v>153300</v>
      </c>
      <c r="P5" s="522">
        <v>153300</v>
      </c>
      <c r="Q5" s="524">
        <f t="shared" si="0"/>
        <v>1839600</v>
      </c>
      <c r="R5" s="592"/>
      <c r="S5" s="592"/>
      <c r="T5" s="592"/>
      <c r="U5" s="523">
        <v>15000</v>
      </c>
      <c r="V5" s="592"/>
      <c r="W5" s="592"/>
      <c r="X5" s="945"/>
      <c r="Y5" s="949">
        <f t="shared" si="1"/>
        <v>1854600</v>
      </c>
      <c r="Z5" s="545"/>
      <c r="AA5" s="545"/>
      <c r="AB5" s="264"/>
    </row>
    <row r="6" spans="1:28" ht="15">
      <c r="A6" s="774" t="s">
        <v>1054</v>
      </c>
      <c r="B6" s="266" t="s">
        <v>1502</v>
      </c>
      <c r="C6" s="413"/>
      <c r="D6" s="969" t="s">
        <v>1507</v>
      </c>
      <c r="E6" s="522">
        <v>200100</v>
      </c>
      <c r="F6" s="522">
        <v>200100</v>
      </c>
      <c r="G6" s="522">
        <v>200100</v>
      </c>
      <c r="H6" s="522">
        <v>200100</v>
      </c>
      <c r="I6" s="522">
        <v>200100</v>
      </c>
      <c r="J6" s="522">
        <v>200100</v>
      </c>
      <c r="K6" s="522">
        <v>200100</v>
      </c>
      <c r="L6" s="522">
        <v>200100</v>
      </c>
      <c r="M6" s="522">
        <v>200100</v>
      </c>
      <c r="N6" s="522">
        <v>200100</v>
      </c>
      <c r="O6" s="522">
        <v>200100</v>
      </c>
      <c r="P6" s="522">
        <v>200100</v>
      </c>
      <c r="Q6" s="524">
        <f t="shared" si="0"/>
        <v>2401200</v>
      </c>
      <c r="R6" s="522"/>
      <c r="S6" s="522"/>
      <c r="T6" s="522"/>
      <c r="U6" s="522">
        <v>15000</v>
      </c>
      <c r="V6" s="522"/>
      <c r="W6" s="522"/>
      <c r="X6" s="655"/>
      <c r="Y6" s="949">
        <f t="shared" si="1"/>
        <v>2416200</v>
      </c>
      <c r="Z6" s="517"/>
      <c r="AA6" s="770"/>
      <c r="AB6" s="264"/>
    </row>
    <row r="7" spans="1:28" ht="15">
      <c r="A7" s="774" t="s">
        <v>1039</v>
      </c>
      <c r="B7" s="266" t="s">
        <v>1503</v>
      </c>
      <c r="C7" s="779"/>
      <c r="D7" s="946" t="s">
        <v>1505</v>
      </c>
      <c r="E7" s="522">
        <v>153300</v>
      </c>
      <c r="F7" s="522">
        <v>153300</v>
      </c>
      <c r="G7" s="522">
        <v>153300</v>
      </c>
      <c r="H7" s="522">
        <v>153300</v>
      </c>
      <c r="I7" s="522">
        <v>153300</v>
      </c>
      <c r="J7" s="522">
        <v>153300</v>
      </c>
      <c r="K7" s="522">
        <v>153300</v>
      </c>
      <c r="L7" s="522">
        <v>153300</v>
      </c>
      <c r="M7" s="522">
        <v>153300</v>
      </c>
      <c r="N7" s="522">
        <v>153300</v>
      </c>
      <c r="O7" s="522">
        <v>153300</v>
      </c>
      <c r="P7" s="522">
        <v>153300</v>
      </c>
      <c r="Q7" s="524">
        <f t="shared" si="0"/>
        <v>1839600</v>
      </c>
      <c r="R7" s="780"/>
      <c r="S7" s="522"/>
      <c r="T7" s="780"/>
      <c r="U7" s="780">
        <v>15000</v>
      </c>
      <c r="V7" s="780"/>
      <c r="W7" s="780"/>
      <c r="X7" s="783"/>
      <c r="Y7" s="949">
        <f t="shared" si="1"/>
        <v>1854600</v>
      </c>
      <c r="Z7" s="773"/>
      <c r="AA7" s="784"/>
      <c r="AB7" s="785"/>
    </row>
    <row r="8" spans="1:28" ht="15">
      <c r="A8" s="774" t="s">
        <v>1040</v>
      </c>
      <c r="B8" s="266" t="s">
        <v>1504</v>
      </c>
      <c r="C8" s="413"/>
      <c r="D8" s="776" t="s">
        <v>1508</v>
      </c>
      <c r="E8" s="522">
        <v>169100</v>
      </c>
      <c r="F8" s="522">
        <v>169100</v>
      </c>
      <c r="G8" s="522">
        <v>169100</v>
      </c>
      <c r="H8" s="522">
        <v>169100</v>
      </c>
      <c r="I8" s="522">
        <v>169100</v>
      </c>
      <c r="J8" s="522">
        <v>169100</v>
      </c>
      <c r="K8" s="522">
        <v>169100</v>
      </c>
      <c r="L8" s="522">
        <v>169100</v>
      </c>
      <c r="M8" s="522">
        <v>169100</v>
      </c>
      <c r="N8" s="522">
        <v>169100</v>
      </c>
      <c r="O8" s="522">
        <v>169100</v>
      </c>
      <c r="P8" s="522">
        <v>169100</v>
      </c>
      <c r="Q8" s="524">
        <f t="shared" si="0"/>
        <v>2029200</v>
      </c>
      <c r="R8" s="522"/>
      <c r="S8" s="522"/>
      <c r="T8" s="522"/>
      <c r="U8" s="522">
        <v>15000</v>
      </c>
      <c r="V8" s="522"/>
      <c r="W8" s="522"/>
      <c r="X8" s="655"/>
      <c r="Y8" s="949">
        <f t="shared" si="1"/>
        <v>2044200</v>
      </c>
      <c r="Z8" s="773"/>
      <c r="AA8" s="951"/>
      <c r="AB8" s="264"/>
    </row>
    <row r="9" spans="1:28" ht="15">
      <c r="A9" s="774"/>
      <c r="B9" s="970"/>
      <c r="C9" s="971"/>
      <c r="D9" s="972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4">
        <f aca="true" t="shared" si="2" ref="Q9:Y9">SUM(Q3:Q8)</f>
        <v>13677600</v>
      </c>
      <c r="R9" s="974">
        <f t="shared" si="2"/>
        <v>0</v>
      </c>
      <c r="S9" s="974">
        <f t="shared" si="2"/>
        <v>0</v>
      </c>
      <c r="T9" s="974">
        <f t="shared" si="2"/>
        <v>0</v>
      </c>
      <c r="U9" s="974">
        <f t="shared" si="2"/>
        <v>60000</v>
      </c>
      <c r="V9" s="974">
        <f t="shared" si="2"/>
        <v>0</v>
      </c>
      <c r="W9" s="974">
        <f t="shared" si="2"/>
        <v>0</v>
      </c>
      <c r="X9" s="974">
        <f t="shared" si="2"/>
        <v>0</v>
      </c>
      <c r="Y9" s="949">
        <f t="shared" si="2"/>
        <v>13737600</v>
      </c>
      <c r="Z9" s="975"/>
      <c r="AA9" s="976"/>
      <c r="AB9" s="264"/>
    </row>
    <row r="10" spans="1:28" ht="15">
      <c r="A10" s="774"/>
      <c r="B10" s="977"/>
      <c r="C10" s="978"/>
      <c r="D10" s="979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1"/>
      <c r="R10" s="980"/>
      <c r="S10" s="789"/>
      <c r="T10" s="980"/>
      <c r="U10" s="980"/>
      <c r="V10" s="980"/>
      <c r="W10" s="980"/>
      <c r="X10" s="980"/>
      <c r="Y10" s="982"/>
      <c r="Z10" s="983"/>
      <c r="AA10" s="984"/>
      <c r="AB10" s="785"/>
    </row>
    <row r="11" spans="1:28" ht="15">
      <c r="A11" s="774" t="s">
        <v>779</v>
      </c>
      <c r="B11" s="985" t="s">
        <v>477</v>
      </c>
      <c r="C11" s="986"/>
      <c r="D11" s="979"/>
      <c r="E11" s="789">
        <v>50000</v>
      </c>
      <c r="F11" s="789">
        <v>50000</v>
      </c>
      <c r="G11" s="789">
        <v>50000</v>
      </c>
      <c r="H11" s="789">
        <v>50000</v>
      </c>
      <c r="I11" s="789">
        <v>50000</v>
      </c>
      <c r="J11" s="789">
        <v>50000</v>
      </c>
      <c r="K11" s="789">
        <v>50000</v>
      </c>
      <c r="L11" s="789">
        <v>50000</v>
      </c>
      <c r="M11" s="789">
        <v>50000</v>
      </c>
      <c r="N11" s="789">
        <v>50000</v>
      </c>
      <c r="O11" s="789">
        <v>50000</v>
      </c>
      <c r="P11" s="789">
        <v>50000</v>
      </c>
      <c r="Q11" s="981">
        <f>SUM(E11:P11)</f>
        <v>600000</v>
      </c>
      <c r="R11" s="789"/>
      <c r="S11" s="789"/>
      <c r="T11" s="789"/>
      <c r="U11" s="789"/>
      <c r="V11" s="789"/>
      <c r="W11" s="789"/>
      <c r="X11" s="789"/>
      <c r="Y11" s="982"/>
      <c r="Z11" s="983"/>
      <c r="AA11" s="987"/>
      <c r="AB11" s="264"/>
    </row>
    <row r="12" spans="1:28" ht="15">
      <c r="A12" s="774" t="s">
        <v>780</v>
      </c>
      <c r="B12" s="985" t="s">
        <v>1304</v>
      </c>
      <c r="C12" s="986"/>
      <c r="D12" s="979"/>
      <c r="E12" s="789">
        <v>50000</v>
      </c>
      <c r="F12" s="789">
        <v>50000</v>
      </c>
      <c r="G12" s="789">
        <v>50000</v>
      </c>
      <c r="H12" s="789">
        <v>50000</v>
      </c>
      <c r="I12" s="789">
        <v>50000</v>
      </c>
      <c r="J12" s="789">
        <v>50000</v>
      </c>
      <c r="K12" s="789">
        <v>50000</v>
      </c>
      <c r="L12" s="789">
        <v>50000</v>
      </c>
      <c r="M12" s="789">
        <v>50000</v>
      </c>
      <c r="N12" s="789">
        <v>50000</v>
      </c>
      <c r="O12" s="789">
        <v>50000</v>
      </c>
      <c r="P12" s="789">
        <v>50000</v>
      </c>
      <c r="Q12" s="981">
        <f>SUM(E12:P12)</f>
        <v>600000</v>
      </c>
      <c r="R12" s="789"/>
      <c r="S12" s="789"/>
      <c r="T12" s="789"/>
      <c r="U12" s="789"/>
      <c r="V12" s="789"/>
      <c r="W12" s="789"/>
      <c r="X12" s="789"/>
      <c r="Y12" s="982"/>
      <c r="Z12" s="983"/>
      <c r="AA12" s="988"/>
      <c r="AB12" s="785"/>
    </row>
    <row r="13" ht="12.75">
      <c r="B13" s="796" t="s">
        <v>147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19">
      <selection activeCell="E45" sqref="E45"/>
    </sheetView>
  </sheetViews>
  <sheetFormatPr defaultColWidth="9.140625" defaultRowHeight="12.75"/>
  <cols>
    <col min="1" max="1" width="9.57421875" style="0" bestFit="1" customWidth="1"/>
    <col min="2" max="2" width="63.57421875" style="0" bestFit="1" customWidth="1"/>
    <col min="3" max="3" width="10.28125" style="0" customWidth="1"/>
    <col min="4" max="4" width="8.28125" style="8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107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386" t="s">
        <v>163</v>
      </c>
      <c r="B4" s="1386"/>
      <c r="C4" s="1386"/>
      <c r="D4" s="1386"/>
      <c r="E4" s="1386"/>
    </row>
    <row r="5" spans="1:5" ht="15">
      <c r="A5" s="1387" t="s">
        <v>1480</v>
      </c>
      <c r="B5" s="1387"/>
      <c r="C5" s="1387"/>
      <c r="D5" s="1387"/>
      <c r="E5" s="1387"/>
    </row>
    <row r="6" spans="1:5" ht="15">
      <c r="A6" s="1387" t="s">
        <v>27</v>
      </c>
      <c r="B6" s="1387"/>
      <c r="C6" s="1387"/>
      <c r="D6" s="1387"/>
      <c r="E6" s="1387"/>
    </row>
    <row r="7" spans="1:5" ht="15">
      <c r="A7" s="1388"/>
      <c r="B7" s="1388"/>
      <c r="C7" s="1388"/>
      <c r="D7" s="1388"/>
      <c r="E7" s="1388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1127</v>
      </c>
      <c r="B10" s="14" t="s">
        <v>1026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önk.'!Q3+'Bérek önk.'!Q4</f>
        <v>5568000</v>
      </c>
      <c r="D11" s="35"/>
      <c r="E11" s="35">
        <f>ROUND(C11,-3)/1000</f>
        <v>5568</v>
      </c>
    </row>
    <row r="12" spans="1:5" ht="12.75">
      <c r="A12" s="466"/>
      <c r="B12" s="466" t="s">
        <v>119</v>
      </c>
      <c r="C12" s="63"/>
      <c r="D12" s="63"/>
      <c r="E12" s="63"/>
    </row>
    <row r="13" spans="1:5" ht="12.75">
      <c r="A13" s="466"/>
      <c r="B13" s="466" t="s">
        <v>108</v>
      </c>
      <c r="C13" s="63"/>
      <c r="D13" s="63"/>
      <c r="E13" s="63"/>
    </row>
    <row r="14" spans="1:5" ht="12.75">
      <c r="A14" s="466">
        <v>511122</v>
      </c>
      <c r="B14" s="466" t="s">
        <v>109</v>
      </c>
      <c r="C14" s="35"/>
      <c r="D14" s="35"/>
      <c r="E14" s="918"/>
    </row>
    <row r="15" spans="1:5" ht="12.75">
      <c r="A15" s="466"/>
      <c r="B15" s="466" t="s">
        <v>110</v>
      </c>
      <c r="C15" s="63"/>
      <c r="D15" s="63"/>
      <c r="E15" s="919"/>
    </row>
    <row r="16" spans="1:5" ht="12.75">
      <c r="A16" s="540">
        <v>511</v>
      </c>
      <c r="B16" s="541" t="s">
        <v>1482</v>
      </c>
      <c r="C16" s="35"/>
      <c r="D16" s="35"/>
      <c r="E16" s="918">
        <f>+E14+E11</f>
        <v>5568</v>
      </c>
    </row>
    <row r="17" spans="1:5" ht="12.75">
      <c r="A17" s="540">
        <v>512</v>
      </c>
      <c r="B17" s="495" t="s">
        <v>93</v>
      </c>
      <c r="C17" s="495"/>
      <c r="D17" s="901"/>
      <c r="E17" s="920"/>
    </row>
    <row r="18" spans="1:5" ht="12.75">
      <c r="A18" s="902">
        <v>51317</v>
      </c>
      <c r="B18" s="903" t="s">
        <v>92</v>
      </c>
      <c r="C18" s="904">
        <v>0</v>
      </c>
      <c r="D18" s="342"/>
      <c r="E18" s="921">
        <f>+C18</f>
        <v>0</v>
      </c>
    </row>
    <row r="19" spans="1:5" ht="12.75">
      <c r="A19" s="540">
        <v>513</v>
      </c>
      <c r="B19" s="495" t="s">
        <v>788</v>
      </c>
      <c r="C19" s="495"/>
      <c r="D19" s="901"/>
      <c r="E19" s="920">
        <f>+C18</f>
        <v>0</v>
      </c>
    </row>
    <row r="20" spans="1:5" ht="12.75">
      <c r="A20" s="540"/>
      <c r="B20" s="905" t="s">
        <v>111</v>
      </c>
      <c r="C20" s="905">
        <f>50000*12</f>
        <v>600000</v>
      </c>
      <c r="D20" s="901"/>
      <c r="E20" s="920">
        <f>ROUND(C20,-3)/1000</f>
        <v>600</v>
      </c>
    </row>
    <row r="21" spans="1:5" ht="12.75">
      <c r="A21" s="540"/>
      <c r="B21" s="905" t="s">
        <v>112</v>
      </c>
      <c r="C21" s="495"/>
      <c r="D21" s="901"/>
      <c r="E21" s="920"/>
    </row>
    <row r="22" spans="1:5" ht="12.75">
      <c r="A22" s="540">
        <v>514</v>
      </c>
      <c r="B22" s="495" t="s">
        <v>94</v>
      </c>
      <c r="C22" s="495"/>
      <c r="D22" s="901"/>
      <c r="E22" s="922">
        <f>E20</f>
        <v>600</v>
      </c>
    </row>
    <row r="23" spans="1:5" ht="12.75">
      <c r="A23" s="45">
        <v>522</v>
      </c>
      <c r="B23" s="467" t="s">
        <v>138</v>
      </c>
      <c r="C23" s="467"/>
      <c r="D23" s="468">
        <f>+(+C24+C25+C26)/1000</f>
        <v>0</v>
      </c>
      <c r="E23" s="923">
        <f>+D23</f>
        <v>0</v>
      </c>
    </row>
    <row r="24" spans="1:5" ht="12.75">
      <c r="A24" s="45"/>
      <c r="B24" s="906" t="s">
        <v>399</v>
      </c>
      <c r="C24" s="906">
        <v>0</v>
      </c>
      <c r="D24" s="468"/>
      <c r="E24" s="923"/>
    </row>
    <row r="25" spans="1:5" ht="12.75">
      <c r="A25" s="907"/>
      <c r="B25" s="906" t="s">
        <v>140</v>
      </c>
      <c r="C25" s="906">
        <v>0</v>
      </c>
      <c r="D25" s="490"/>
      <c r="E25" s="924"/>
    </row>
    <row r="26" spans="1:5" ht="12.75">
      <c r="A26" s="907"/>
      <c r="B26" s="906" t="s">
        <v>141</v>
      </c>
      <c r="C26" s="906">
        <v>0</v>
      </c>
      <c r="D26" s="490"/>
      <c r="E26" s="924"/>
    </row>
    <row r="27" spans="1:5" ht="13.5" thickBot="1">
      <c r="A27" s="1389" t="s">
        <v>1484</v>
      </c>
      <c r="B27" s="1390"/>
      <c r="C27" s="1390"/>
      <c r="D27" s="1390"/>
      <c r="E27" s="908">
        <f>+E22+E19+E16+E23</f>
        <v>6168</v>
      </c>
    </row>
    <row r="28" spans="1:5" ht="12.75">
      <c r="A28" s="65"/>
      <c r="B28" s="65"/>
      <c r="C28" s="66"/>
      <c r="D28" s="66"/>
      <c r="E28" s="66"/>
    </row>
    <row r="29" spans="1:5" ht="12.75">
      <c r="A29" s="65"/>
      <c r="B29" s="65"/>
      <c r="C29" s="66"/>
      <c r="D29" s="66"/>
      <c r="E29" s="66"/>
    </row>
    <row r="30" spans="1:5" ht="12.75">
      <c r="A30" s="1391" t="s">
        <v>1485</v>
      </c>
      <c r="B30" s="1392"/>
      <c r="C30" s="1392"/>
      <c r="D30" s="1392"/>
      <c r="E30" s="1392"/>
    </row>
    <row r="31" spans="1:5" ht="12.75">
      <c r="A31" s="909"/>
      <c r="B31" s="909"/>
      <c r="C31" s="910"/>
      <c r="D31" s="910"/>
      <c r="E31" s="910"/>
    </row>
    <row r="32" spans="1:5" ht="12.75">
      <c r="A32" s="909"/>
      <c r="B32" s="909"/>
      <c r="C32" s="910"/>
      <c r="D32" s="910"/>
      <c r="E32" s="910"/>
    </row>
    <row r="33" spans="1:5" ht="13.5" thickBot="1">
      <c r="A33" s="449">
        <v>53112</v>
      </c>
      <c r="B33" s="449" t="s">
        <v>1198</v>
      </c>
      <c r="C33" s="450"/>
      <c r="D33" s="544"/>
      <c r="E33" s="450">
        <f>+(E16+E19+E23)*0.27</f>
        <v>1503.3600000000001</v>
      </c>
    </row>
    <row r="34" spans="1:5" ht="13.5" thickBot="1">
      <c r="A34" s="1393" t="s">
        <v>981</v>
      </c>
      <c r="B34" s="1394"/>
      <c r="C34" s="1394"/>
      <c r="D34" s="1394"/>
      <c r="E34" s="911">
        <f>E33</f>
        <v>1503.3600000000001</v>
      </c>
    </row>
    <row r="35" spans="1:5" ht="12.75">
      <c r="A35" s="65"/>
      <c r="B35" s="65"/>
      <c r="C35" s="66"/>
      <c r="D35" s="66"/>
      <c r="E35" s="66"/>
    </row>
    <row r="36" spans="1:5" ht="12.75">
      <c r="A36" s="65"/>
      <c r="B36" s="65"/>
      <c r="C36" s="66"/>
      <c r="D36" s="66"/>
      <c r="E36" s="66"/>
    </row>
    <row r="37" spans="1:5" ht="12.75">
      <c r="A37" s="1261" t="s">
        <v>1487</v>
      </c>
      <c r="B37" s="1261"/>
      <c r="C37" s="1261"/>
      <c r="D37" s="1261"/>
      <c r="E37" s="1261"/>
    </row>
    <row r="38" spans="1:5" ht="12.75">
      <c r="A38" s="902">
        <v>54711</v>
      </c>
      <c r="B38" s="913" t="s">
        <v>9</v>
      </c>
      <c r="C38" s="914"/>
      <c r="D38" s="915"/>
      <c r="E38" s="925">
        <v>50</v>
      </c>
    </row>
    <row r="39" spans="1:5" ht="12.75">
      <c r="A39" s="902">
        <v>55111</v>
      </c>
      <c r="B39" s="913" t="s">
        <v>755</v>
      </c>
      <c r="C39" s="914"/>
      <c r="D39" s="915"/>
      <c r="E39" s="925">
        <v>161</v>
      </c>
    </row>
    <row r="40" spans="1:5" ht="12.75">
      <c r="A40" s="902"/>
      <c r="B40" s="913" t="s">
        <v>8</v>
      </c>
      <c r="C40" s="914"/>
      <c r="D40" s="915"/>
      <c r="E40" s="925">
        <v>100</v>
      </c>
    </row>
    <row r="41" spans="1:5" ht="12.75">
      <c r="A41" s="912">
        <v>55219</v>
      </c>
      <c r="B41" s="913" t="s">
        <v>7</v>
      </c>
      <c r="C41" s="914"/>
      <c r="D41" s="915"/>
      <c r="E41" s="925">
        <f>300+100</f>
        <v>400</v>
      </c>
    </row>
    <row r="42" spans="1:5" ht="12.75">
      <c r="A42" s="902">
        <v>56111</v>
      </c>
      <c r="B42" s="902" t="s">
        <v>139</v>
      </c>
      <c r="C42" s="903"/>
      <c r="D42" s="916"/>
      <c r="E42" s="925">
        <f>(E38+E39+E40+E44)*0.27</f>
        <v>256.77000000000004</v>
      </c>
    </row>
    <row r="43" spans="1:5" ht="12.75">
      <c r="A43" s="328">
        <v>57219</v>
      </c>
      <c r="B43" s="328" t="s">
        <v>6</v>
      </c>
      <c r="C43" s="328">
        <v>40793</v>
      </c>
      <c r="D43" s="904"/>
      <c r="E43" s="926">
        <v>41</v>
      </c>
    </row>
    <row r="44" spans="1:5" ht="12.75">
      <c r="A44" s="328"/>
      <c r="B44" s="328" t="s">
        <v>1296</v>
      </c>
      <c r="C44" s="328"/>
      <c r="D44" s="904"/>
      <c r="E44" s="926">
        <v>640</v>
      </c>
    </row>
    <row r="45" spans="1:5" ht="12.75">
      <c r="A45" s="1395" t="s">
        <v>162</v>
      </c>
      <c r="B45" s="1395"/>
      <c r="C45" s="1395"/>
      <c r="D45" s="1395"/>
      <c r="E45" s="927">
        <f>SUM(E38:E44)</f>
        <v>1648.77</v>
      </c>
    </row>
    <row r="46" spans="1:5" ht="12.75">
      <c r="A46" s="1385" t="s">
        <v>961</v>
      </c>
      <c r="B46" s="1385"/>
      <c r="C46" s="1385"/>
      <c r="D46" s="1385"/>
      <c r="E46" s="917">
        <f>+E27+E34+E45</f>
        <v>9320.130000000001</v>
      </c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spans="1:5" ht="12.75">
      <c r="A51" s="25"/>
      <c r="B51" s="25"/>
      <c r="C51" s="25"/>
      <c r="D51" s="33"/>
      <c r="E51" s="25"/>
    </row>
  </sheetData>
  <sheetProtection/>
  <mergeCells count="10">
    <mergeCell ref="A46:D46"/>
    <mergeCell ref="A4:E4"/>
    <mergeCell ref="A5:E5"/>
    <mergeCell ref="A6:E6"/>
    <mergeCell ref="A7:E7"/>
    <mergeCell ref="A27:D27"/>
    <mergeCell ref="A30:E30"/>
    <mergeCell ref="A34:D34"/>
    <mergeCell ref="A37:E37"/>
    <mergeCell ref="A45:D45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7.8515625" style="0" bestFit="1" customWidth="1"/>
    <col min="2" max="2" width="64.14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1509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386" t="s">
        <v>163</v>
      </c>
      <c r="B4" s="1386"/>
      <c r="C4" s="1386"/>
      <c r="D4" s="1386"/>
      <c r="E4" s="1386"/>
    </row>
    <row r="5" spans="1:5" ht="15">
      <c r="A5" s="1387" t="s">
        <v>1480</v>
      </c>
      <c r="B5" s="1387"/>
      <c r="C5" s="1387"/>
      <c r="D5" s="1387"/>
      <c r="E5" s="1387"/>
    </row>
    <row r="6" spans="1:5" ht="15">
      <c r="A6" s="1387" t="s">
        <v>27</v>
      </c>
      <c r="B6" s="1387"/>
      <c r="C6" s="1387"/>
      <c r="D6" s="1387"/>
      <c r="E6" s="1387"/>
    </row>
    <row r="7" spans="1:5" ht="15">
      <c r="A7" s="1388"/>
      <c r="B7" s="1388"/>
      <c r="C7" s="1388"/>
      <c r="D7" s="1388"/>
      <c r="E7" s="1388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1127</v>
      </c>
      <c r="B10" s="14" t="s">
        <v>1026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önk.'!Q5+'Bérek önk.'!Q7</f>
        <v>3679200</v>
      </c>
      <c r="D11" s="35"/>
      <c r="E11" s="35">
        <f>ROUND(C11,-3)/1000</f>
        <v>3679</v>
      </c>
    </row>
    <row r="12" spans="1:5" ht="12.75">
      <c r="A12" s="466"/>
      <c r="B12" s="466" t="s">
        <v>1510</v>
      </c>
      <c r="C12" s="63"/>
      <c r="D12" s="63"/>
      <c r="E12" s="35">
        <f aca="true" t="shared" si="0" ref="E12:E22">ROUND(C12,-3)/1000</f>
        <v>0</v>
      </c>
    </row>
    <row r="13" spans="1:5" ht="12.75">
      <c r="A13" s="466"/>
      <c r="B13" s="466" t="s">
        <v>1511</v>
      </c>
      <c r="C13" s="63"/>
      <c r="D13" s="63"/>
      <c r="E13" s="35">
        <f t="shared" si="0"/>
        <v>0</v>
      </c>
    </row>
    <row r="14" spans="1:5" ht="12.75">
      <c r="A14" s="466">
        <v>511122</v>
      </c>
      <c r="B14" s="466" t="s">
        <v>109</v>
      </c>
      <c r="C14" s="35"/>
      <c r="D14" s="35"/>
      <c r="E14" s="35">
        <f t="shared" si="0"/>
        <v>0</v>
      </c>
    </row>
    <row r="15" spans="1:5" ht="12.75">
      <c r="A15" s="466"/>
      <c r="B15" s="466"/>
      <c r="C15" s="63"/>
      <c r="D15" s="63"/>
      <c r="E15" s="35">
        <f t="shared" si="0"/>
        <v>0</v>
      </c>
    </row>
    <row r="16" spans="1:5" ht="12.75">
      <c r="A16" s="540">
        <v>511</v>
      </c>
      <c r="B16" s="541" t="s">
        <v>1482</v>
      </c>
      <c r="C16" s="35">
        <f>SUM(C11:C15)</f>
        <v>3679200</v>
      </c>
      <c r="D16" s="35"/>
      <c r="E16" s="35">
        <f t="shared" si="0"/>
        <v>3679</v>
      </c>
    </row>
    <row r="17" spans="1:5" ht="12.75">
      <c r="A17" s="540">
        <v>512</v>
      </c>
      <c r="B17" s="495" t="s">
        <v>93</v>
      </c>
      <c r="C17" s="901">
        <f>'Bérek önk.'!U5+'Bérek önk.'!U7</f>
        <v>30000</v>
      </c>
      <c r="D17" s="901"/>
      <c r="E17" s="35">
        <f t="shared" si="0"/>
        <v>30</v>
      </c>
    </row>
    <row r="18" spans="1:5" ht="12.75">
      <c r="A18" s="902">
        <v>51317</v>
      </c>
      <c r="B18" s="903" t="s">
        <v>92</v>
      </c>
      <c r="C18" s="904">
        <v>0</v>
      </c>
      <c r="D18" s="342"/>
      <c r="E18" s="35">
        <f t="shared" si="0"/>
        <v>0</v>
      </c>
    </row>
    <row r="19" spans="1:5" ht="12.75">
      <c r="A19" s="540">
        <v>513</v>
      </c>
      <c r="B19" s="495" t="s">
        <v>788</v>
      </c>
      <c r="C19" s="495"/>
      <c r="D19" s="901"/>
      <c r="E19" s="35">
        <f t="shared" si="0"/>
        <v>0</v>
      </c>
    </row>
    <row r="20" spans="1:5" ht="12.75">
      <c r="A20" s="540"/>
      <c r="B20" s="905" t="s">
        <v>111</v>
      </c>
      <c r="C20" s="905"/>
      <c r="D20" s="901"/>
      <c r="E20" s="35">
        <f t="shared" si="0"/>
        <v>0</v>
      </c>
    </row>
    <row r="21" spans="1:5" ht="12.75">
      <c r="A21" s="540"/>
      <c r="B21" s="905"/>
      <c r="C21" s="495"/>
      <c r="D21" s="901"/>
      <c r="E21" s="35">
        <f t="shared" si="0"/>
        <v>0</v>
      </c>
    </row>
    <row r="22" spans="1:5" ht="12.75">
      <c r="A22" s="540">
        <v>514</v>
      </c>
      <c r="B22" s="495" t="s">
        <v>94</v>
      </c>
      <c r="C22" s="495"/>
      <c r="D22" s="901"/>
      <c r="E22" s="35">
        <f t="shared" si="0"/>
        <v>0</v>
      </c>
    </row>
    <row r="23" spans="1:5" ht="13.5" thickBot="1">
      <c r="A23" s="1389" t="s">
        <v>1484</v>
      </c>
      <c r="B23" s="1390"/>
      <c r="C23" s="1390"/>
      <c r="D23" s="1390"/>
      <c r="E23" s="908">
        <f>E16+E17+E19+E22</f>
        <v>3709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391" t="s">
        <v>1485</v>
      </c>
      <c r="B26" s="1392"/>
      <c r="C26" s="1392"/>
      <c r="D26" s="1392"/>
      <c r="E26" s="1392"/>
    </row>
    <row r="27" spans="1:5" ht="12.75">
      <c r="A27" s="909"/>
      <c r="B27" s="909"/>
      <c r="C27" s="910"/>
      <c r="D27" s="910"/>
      <c r="E27" s="910"/>
    </row>
    <row r="28" spans="1:5" ht="12.75">
      <c r="A28" s="909"/>
      <c r="B28" s="909"/>
      <c r="C28" s="910"/>
      <c r="D28" s="910"/>
      <c r="E28" s="910"/>
    </row>
    <row r="29" spans="1:5" ht="13.5" thickBot="1">
      <c r="A29" s="449">
        <v>53112</v>
      </c>
      <c r="B29" s="449" t="s">
        <v>1198</v>
      </c>
      <c r="C29" s="450"/>
      <c r="D29" s="544"/>
      <c r="E29" s="450">
        <f>+(E16+E17)*0.27</f>
        <v>1001.4300000000001</v>
      </c>
    </row>
    <row r="30" spans="1:5" ht="13.5" thickBot="1">
      <c r="A30" s="1393" t="s">
        <v>981</v>
      </c>
      <c r="B30" s="1394"/>
      <c r="C30" s="1394"/>
      <c r="D30" s="1394"/>
      <c r="E30" s="911">
        <v>1001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261" t="s">
        <v>1487</v>
      </c>
      <c r="B33" s="1261"/>
      <c r="C33" s="1261"/>
      <c r="D33" s="1261"/>
      <c r="E33" s="1261"/>
    </row>
    <row r="34" spans="1:5" ht="12.75">
      <c r="A34" s="912"/>
      <c r="B34" s="913"/>
      <c r="C34" s="914"/>
      <c r="D34" s="915"/>
      <c r="E34" s="925"/>
    </row>
    <row r="35" spans="1:5" ht="12.75">
      <c r="A35" s="912">
        <v>55219</v>
      </c>
      <c r="B35" s="913" t="s">
        <v>106</v>
      </c>
      <c r="C35" s="914"/>
      <c r="D35" s="915"/>
      <c r="E35" s="925"/>
    </row>
    <row r="36" spans="1:5" ht="12.75">
      <c r="A36" s="902">
        <v>56111</v>
      </c>
      <c r="B36" s="902" t="s">
        <v>139</v>
      </c>
      <c r="C36" s="903"/>
      <c r="D36" s="916"/>
      <c r="E36" s="925"/>
    </row>
    <row r="37" spans="1:5" ht="12.75">
      <c r="A37" s="902"/>
      <c r="B37" s="902"/>
      <c r="C37" s="902"/>
      <c r="D37" s="904"/>
      <c r="E37" s="926"/>
    </row>
    <row r="38" spans="1:5" ht="12.75">
      <c r="A38" s="1395" t="s">
        <v>162</v>
      </c>
      <c r="B38" s="1395"/>
      <c r="C38" s="1395"/>
      <c r="D38" s="1395"/>
      <c r="E38" s="927">
        <f>SUM(E34:E37)</f>
        <v>0</v>
      </c>
    </row>
    <row r="39" spans="1:5" ht="12.75">
      <c r="A39" s="1385" t="s">
        <v>961</v>
      </c>
      <c r="B39" s="1385"/>
      <c r="C39" s="1385"/>
      <c r="D39" s="1385"/>
      <c r="E39" s="917">
        <f>+E23+E30+E38</f>
        <v>4710</v>
      </c>
    </row>
    <row r="40" spans="1:5" ht="12.75">
      <c r="A40" s="25"/>
      <c r="B40" s="25"/>
      <c r="C40" s="25"/>
      <c r="D40" s="33"/>
      <c r="E40" s="25"/>
    </row>
    <row r="41" spans="1:5" ht="12.75">
      <c r="A41" s="25"/>
      <c r="B41" s="25"/>
      <c r="C41" s="25"/>
      <c r="D41" s="33"/>
      <c r="E41" s="25"/>
    </row>
    <row r="42" spans="1:5" ht="12.75">
      <c r="A42" s="25"/>
      <c r="B42" s="25"/>
      <c r="C42" s="25"/>
      <c r="D42" s="33"/>
      <c r="E42" s="25"/>
    </row>
    <row r="43" spans="1:5" ht="12.75">
      <c r="A43" s="25"/>
      <c r="B43" s="25"/>
      <c r="C43" s="25"/>
      <c r="D43" s="33"/>
      <c r="E43" s="25"/>
    </row>
    <row r="44" spans="1:5" ht="12.75">
      <c r="A44" s="25"/>
      <c r="B44" s="25"/>
      <c r="C44" s="25"/>
      <c r="D44" s="33"/>
      <c r="E44" s="25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</sheetData>
  <sheetProtection/>
  <mergeCells count="10">
    <mergeCell ref="A4:E4"/>
    <mergeCell ref="A5:E5"/>
    <mergeCell ref="A6:E6"/>
    <mergeCell ref="A7:E7"/>
    <mergeCell ref="A38:D38"/>
    <mergeCell ref="A39:D39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0">
      <selection activeCell="E44" sqref="E44"/>
    </sheetView>
  </sheetViews>
  <sheetFormatPr defaultColWidth="9.140625" defaultRowHeight="12.75"/>
  <cols>
    <col min="1" max="1" width="7.8515625" style="0" bestFit="1" customWidth="1"/>
    <col min="2" max="2" width="61.421875" style="0" customWidth="1"/>
    <col min="3" max="3" width="10.0039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0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386" t="s">
        <v>163</v>
      </c>
      <c r="B4" s="1386"/>
      <c r="C4" s="1386"/>
      <c r="D4" s="1386"/>
      <c r="E4" s="1386"/>
    </row>
    <row r="5" spans="1:5" ht="15">
      <c r="A5" s="1387" t="s">
        <v>1480</v>
      </c>
      <c r="B5" s="1387"/>
      <c r="C5" s="1387"/>
      <c r="D5" s="1387"/>
      <c r="E5" s="1387"/>
    </row>
    <row r="6" spans="1:5" ht="15">
      <c r="A6" s="1387" t="s">
        <v>27</v>
      </c>
      <c r="B6" s="1387"/>
      <c r="C6" s="1387"/>
      <c r="D6" s="1387"/>
      <c r="E6" s="1387"/>
    </row>
    <row r="7" spans="1:5" ht="15">
      <c r="A7" s="1388"/>
      <c r="B7" s="1388"/>
      <c r="C7" s="1388"/>
      <c r="D7" s="1388"/>
      <c r="E7" s="1388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1127</v>
      </c>
      <c r="B10" s="14" t="s">
        <v>1026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önk.'!Q6+'Bérek önk.'!Q8</f>
        <v>4430400</v>
      </c>
      <c r="D11" s="35"/>
      <c r="E11" s="35">
        <f>ROUND(C11,-3)/1000</f>
        <v>4430</v>
      </c>
    </row>
    <row r="12" spans="1:5" ht="12.75">
      <c r="A12" s="466"/>
      <c r="B12" s="466" t="s">
        <v>1</v>
      </c>
      <c r="C12" s="63"/>
      <c r="D12" s="63"/>
      <c r="E12" s="35"/>
    </row>
    <row r="13" spans="1:5" ht="12.75">
      <c r="A13" s="466"/>
      <c r="B13" s="466" t="s">
        <v>2</v>
      </c>
      <c r="C13" s="63"/>
      <c r="D13" s="63"/>
      <c r="E13" s="35"/>
    </row>
    <row r="14" spans="1:5" ht="12.75">
      <c r="A14" s="466">
        <v>511122</v>
      </c>
      <c r="B14" s="466" t="s">
        <v>109</v>
      </c>
      <c r="C14" s="35"/>
      <c r="D14" s="35"/>
      <c r="E14" s="35"/>
    </row>
    <row r="15" spans="1:5" ht="12.75">
      <c r="A15" s="466"/>
      <c r="B15" s="466"/>
      <c r="C15" s="63"/>
      <c r="D15" s="63"/>
      <c r="E15" s="35"/>
    </row>
    <row r="16" spans="1:5" ht="12.75">
      <c r="A16" s="540">
        <v>511</v>
      </c>
      <c r="B16" s="541" t="s">
        <v>1482</v>
      </c>
      <c r="C16" s="35">
        <f>SUM(C11:C15)</f>
        <v>4430400</v>
      </c>
      <c r="D16" s="35"/>
      <c r="E16" s="35">
        <f>ROUND(C16,-3)/1000</f>
        <v>4430</v>
      </c>
    </row>
    <row r="17" spans="1:5" ht="12.75">
      <c r="A17" s="540">
        <v>512</v>
      </c>
      <c r="B17" s="495" t="s">
        <v>93</v>
      </c>
      <c r="C17" s="901">
        <f>'Bérek önk.'!U6+'Bérek önk.'!U8</f>
        <v>30000</v>
      </c>
      <c r="D17" s="901"/>
      <c r="E17" s="35">
        <f>ROUND(C17,-3)/1000</f>
        <v>30</v>
      </c>
    </row>
    <row r="18" spans="1:5" ht="12.75">
      <c r="A18" s="902">
        <v>51317</v>
      </c>
      <c r="B18" s="903" t="s">
        <v>92</v>
      </c>
      <c r="C18" s="904">
        <v>0</v>
      </c>
      <c r="D18" s="342"/>
      <c r="E18" s="921">
        <f>+C18</f>
        <v>0</v>
      </c>
    </row>
    <row r="19" spans="1:5" ht="12.75">
      <c r="A19" s="540">
        <v>513</v>
      </c>
      <c r="B19" s="495" t="s">
        <v>788</v>
      </c>
      <c r="C19" s="495"/>
      <c r="D19" s="901"/>
      <c r="E19" s="920">
        <f>+C18</f>
        <v>0</v>
      </c>
    </row>
    <row r="20" spans="1:5" ht="12.75">
      <c r="A20" s="540"/>
      <c r="B20" s="905" t="s">
        <v>111</v>
      </c>
      <c r="C20" s="905"/>
      <c r="D20" s="901"/>
      <c r="E20" s="920">
        <f>ROUND(C20,-3)/1000</f>
        <v>0</v>
      </c>
    </row>
    <row r="21" spans="1:5" ht="12.75">
      <c r="A21" s="540"/>
      <c r="B21" s="905"/>
      <c r="C21" s="495"/>
      <c r="D21" s="901"/>
      <c r="E21" s="920"/>
    </row>
    <row r="22" spans="1:5" ht="12.75">
      <c r="A22" s="540">
        <v>514</v>
      </c>
      <c r="B22" s="495" t="s">
        <v>94</v>
      </c>
      <c r="C22" s="495"/>
      <c r="D22" s="901"/>
      <c r="E22" s="922">
        <f>E20</f>
        <v>0</v>
      </c>
    </row>
    <row r="23" spans="1:5" ht="13.5" thickBot="1">
      <c r="A23" s="1389" t="s">
        <v>1484</v>
      </c>
      <c r="B23" s="1390"/>
      <c r="C23" s="1390"/>
      <c r="D23" s="1390"/>
      <c r="E23" s="908">
        <f>E16+E17+E19+E22</f>
        <v>4460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391" t="s">
        <v>1485</v>
      </c>
      <c r="B26" s="1392"/>
      <c r="C26" s="1392"/>
      <c r="D26" s="1392"/>
      <c r="E26" s="1392"/>
    </row>
    <row r="27" spans="1:5" ht="12.75">
      <c r="A27" s="909"/>
      <c r="B27" s="909"/>
      <c r="C27" s="910"/>
      <c r="D27" s="910"/>
      <c r="E27" s="910"/>
    </row>
    <row r="28" spans="1:5" ht="12.75">
      <c r="A28" s="909"/>
      <c r="B28" s="909"/>
      <c r="C28" s="910"/>
      <c r="D28" s="910"/>
      <c r="E28" s="910"/>
    </row>
    <row r="29" spans="1:5" ht="13.5" thickBot="1">
      <c r="A29" s="449">
        <v>53112</v>
      </c>
      <c r="B29" s="449" t="s">
        <v>1198</v>
      </c>
      <c r="C29" s="450"/>
      <c r="D29" s="544"/>
      <c r="E29" s="450">
        <f>+(E16+E17)*0.27</f>
        <v>1204.2</v>
      </c>
    </row>
    <row r="30" spans="1:5" ht="13.5" thickBot="1">
      <c r="A30" s="1393" t="s">
        <v>981</v>
      </c>
      <c r="B30" s="1394"/>
      <c r="C30" s="1394"/>
      <c r="D30" s="1394"/>
      <c r="E30" s="911">
        <v>1204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261" t="s">
        <v>1487</v>
      </c>
      <c r="B33" s="1261"/>
      <c r="C33" s="1261"/>
      <c r="D33" s="1261"/>
      <c r="E33" s="1261"/>
    </row>
    <row r="34" spans="1:5" ht="12.75">
      <c r="A34" s="912"/>
      <c r="B34" s="913"/>
      <c r="C34" s="914"/>
      <c r="D34" s="915"/>
      <c r="E34" s="925"/>
    </row>
    <row r="35" spans="1:5" ht="12.75">
      <c r="A35" s="912">
        <v>55219</v>
      </c>
      <c r="B35" s="913" t="s">
        <v>3</v>
      </c>
      <c r="C35" s="914">
        <f>576000+100000</f>
        <v>676000</v>
      </c>
      <c r="D35" s="915"/>
      <c r="E35" s="925">
        <f>ROUND(C35,-3)/1000</f>
        <v>676</v>
      </c>
    </row>
    <row r="36" spans="1:5" ht="12.75">
      <c r="A36" s="912">
        <v>55111</v>
      </c>
      <c r="B36" s="913" t="s">
        <v>754</v>
      </c>
      <c r="C36" s="914"/>
      <c r="D36" s="915"/>
      <c r="E36" s="925">
        <v>210</v>
      </c>
    </row>
    <row r="37" spans="1:5" ht="12.75">
      <c r="A37" s="912"/>
      <c r="B37" s="913" t="s">
        <v>763</v>
      </c>
      <c r="C37" s="914"/>
      <c r="D37" s="915" t="s">
        <v>765</v>
      </c>
      <c r="E37" s="925">
        <v>350</v>
      </c>
    </row>
    <row r="38" spans="1:5" ht="12.75">
      <c r="A38" s="912"/>
      <c r="B38" s="913" t="s">
        <v>764</v>
      </c>
      <c r="C38" s="914"/>
      <c r="D38" s="915"/>
      <c r="E38" s="925">
        <v>62</v>
      </c>
    </row>
    <row r="39" spans="1:5" ht="12.75">
      <c r="A39" s="902">
        <v>56111</v>
      </c>
      <c r="B39" s="902" t="s">
        <v>139</v>
      </c>
      <c r="C39" s="903"/>
      <c r="D39" s="916"/>
      <c r="E39" s="925">
        <f>(E40+E41+E36+E37+E38+E43)*0.27</f>
        <v>429.84000000000003</v>
      </c>
    </row>
    <row r="40" spans="1:5" ht="12.75">
      <c r="A40" s="902">
        <v>54711</v>
      </c>
      <c r="B40" s="902" t="s">
        <v>4</v>
      </c>
      <c r="C40" s="902"/>
      <c r="D40" s="904"/>
      <c r="E40" s="926">
        <v>70</v>
      </c>
    </row>
    <row r="41" spans="1:5" ht="12.75">
      <c r="A41" s="902">
        <v>5431</v>
      </c>
      <c r="B41" s="902" t="s">
        <v>5</v>
      </c>
      <c r="C41" s="902"/>
      <c r="D41" s="904"/>
      <c r="E41" s="926">
        <v>50</v>
      </c>
    </row>
    <row r="42" spans="1:5" ht="12.75">
      <c r="A42" s="902"/>
      <c r="B42" s="902" t="s">
        <v>1387</v>
      </c>
      <c r="C42" s="902"/>
      <c r="D42" s="904">
        <v>12168</v>
      </c>
      <c r="E42" s="926">
        <v>12</v>
      </c>
    </row>
    <row r="43" spans="1:5" ht="12.75">
      <c r="A43" s="902"/>
      <c r="B43" s="902" t="s">
        <v>391</v>
      </c>
      <c r="C43" s="902"/>
      <c r="D43" s="904"/>
      <c r="E43" s="926">
        <v>850</v>
      </c>
    </row>
    <row r="44" spans="1:5" ht="12.75">
      <c r="A44" s="1395" t="s">
        <v>162</v>
      </c>
      <c r="B44" s="1395"/>
      <c r="C44" s="1395"/>
      <c r="D44" s="1395"/>
      <c r="E44" s="927">
        <f>SUM(E34:E43)</f>
        <v>2709.84</v>
      </c>
    </row>
    <row r="45" spans="1:5" ht="12.75">
      <c r="A45" s="1385" t="s">
        <v>961</v>
      </c>
      <c r="B45" s="1385"/>
      <c r="C45" s="1385"/>
      <c r="D45" s="1385"/>
      <c r="E45" s="917">
        <f>+E23+E30+E44</f>
        <v>8373.84</v>
      </c>
    </row>
    <row r="46" spans="1:5" ht="12.75">
      <c r="A46" s="25"/>
      <c r="B46" s="25"/>
      <c r="C46" s="25"/>
      <c r="D46" s="33"/>
      <c r="E46" s="25"/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</sheetData>
  <sheetProtection/>
  <mergeCells count="10">
    <mergeCell ref="A44:D44"/>
    <mergeCell ref="A45:D45"/>
    <mergeCell ref="A4:E4"/>
    <mergeCell ref="A5:E5"/>
    <mergeCell ref="A6:E6"/>
    <mergeCell ref="A7:E7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56.140625" style="0" bestFit="1" customWidth="1"/>
    <col min="3" max="3" width="10.140625" style="0" bestFit="1" customWidth="1"/>
  </cols>
  <sheetData>
    <row r="1" ht="37.5" customHeight="1"/>
    <row r="2" spans="2:4" ht="15">
      <c r="B2" s="307"/>
      <c r="C2" s="214"/>
      <c r="D2" s="214"/>
    </row>
    <row r="3" spans="2:4" ht="12.75">
      <c r="B3" s="53" t="s">
        <v>972</v>
      </c>
      <c r="C3" s="620"/>
      <c r="D3" s="177">
        <f>SUM(D4:D8)</f>
        <v>132795</v>
      </c>
    </row>
    <row r="4" spans="2:4" ht="12.75">
      <c r="B4" s="328" t="s">
        <v>973</v>
      </c>
      <c r="C4" s="620">
        <f>'862101-Háziorvosi alapellátás'!C11</f>
        <v>5568000</v>
      </c>
      <c r="D4" s="620">
        <f>ROUND(C4,-3)/1000</f>
        <v>5568</v>
      </c>
    </row>
    <row r="5" spans="2:4" ht="12.75">
      <c r="B5" s="328" t="s">
        <v>974</v>
      </c>
      <c r="C5" s="620">
        <f>'869041-Védőnő1'!C11+'869042-Védőnő2'!C11</f>
        <v>8109600</v>
      </c>
      <c r="D5" s="620">
        <f>ROUND(C5,-3)/1000</f>
        <v>8110</v>
      </c>
    </row>
    <row r="6" spans="2:4" ht="12.75">
      <c r="B6" s="328" t="s">
        <v>975</v>
      </c>
      <c r="C6" s="6"/>
      <c r="D6" s="620">
        <f>'841112-117-Képviselőtestület'!E12</f>
        <v>3780</v>
      </c>
    </row>
    <row r="7" spans="2:4" ht="12.75">
      <c r="B7" s="412" t="s">
        <v>976</v>
      </c>
      <c r="C7" s="6"/>
      <c r="D7" s="620">
        <f>'890441-Közcélú 2012'!D30</f>
        <v>114137</v>
      </c>
    </row>
    <row r="8" spans="2:4" ht="12.75">
      <c r="B8" s="642" t="s">
        <v>1305</v>
      </c>
      <c r="C8" s="6"/>
      <c r="D8" s="620">
        <v>1200</v>
      </c>
    </row>
    <row r="9" spans="2:4" ht="12.75">
      <c r="B9" s="642"/>
      <c r="C9" s="6"/>
      <c r="D9" s="620"/>
    </row>
    <row r="10" spans="2:4" ht="12.75">
      <c r="B10" s="642"/>
      <c r="C10" s="620"/>
      <c r="D10" s="620">
        <f>ROUND(C10,-3)/1000</f>
        <v>0</v>
      </c>
    </row>
    <row r="11" spans="2:4" ht="12.75">
      <c r="B11" s="1033" t="s">
        <v>978</v>
      </c>
      <c r="C11" s="620"/>
      <c r="D11" s="177">
        <f>D12</f>
        <v>60</v>
      </c>
    </row>
    <row r="12" spans="2:4" ht="12.75">
      <c r="B12" s="1033" t="s">
        <v>974</v>
      </c>
      <c r="C12" s="620"/>
      <c r="D12" s="620">
        <f>'869041-Védőnő1'!E17+'869042-Védőnő2'!E17</f>
        <v>60</v>
      </c>
    </row>
    <row r="13" spans="2:4" ht="12.75">
      <c r="B13" s="1033"/>
      <c r="C13" s="620"/>
      <c r="D13" s="620"/>
    </row>
    <row r="14" spans="2:4" ht="12.75">
      <c r="B14" s="53" t="s">
        <v>971</v>
      </c>
      <c r="C14" s="620"/>
      <c r="D14" s="177">
        <f>D15</f>
        <v>600</v>
      </c>
    </row>
    <row r="15" spans="2:4" ht="12.75">
      <c r="B15" s="328" t="s">
        <v>979</v>
      </c>
      <c r="C15" s="620"/>
      <c r="D15" s="620">
        <f>'862101-Háziorvosi alapellátás'!E20</f>
        <v>600</v>
      </c>
    </row>
    <row r="16" spans="2:4" ht="12.75">
      <c r="B16" s="328"/>
      <c r="C16" s="620"/>
      <c r="D16" s="620"/>
    </row>
    <row r="17" spans="2:4" ht="12.75">
      <c r="B17" s="328" t="s">
        <v>977</v>
      </c>
      <c r="C17" s="618"/>
      <c r="D17" s="620">
        <f>ROUND(C17,-3)/1000</f>
        <v>0</v>
      </c>
    </row>
    <row r="20" spans="2:4" ht="12.75">
      <c r="B20" s="10" t="s">
        <v>980</v>
      </c>
      <c r="D20" s="11">
        <f>'862101-Háziorvosi alapellátás'!E34+'869041-Védőnő1'!E30+'869042-Védőnő2'!E30+'841112-117-Képviselőtestület'!E18+'890441-Közcélú 2012'!D35</f>
        <v>20137.96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4.421875" style="0" customWidth="1"/>
    <col min="4" max="4" width="10.8515625" style="0" bestFit="1" customWidth="1"/>
    <col min="5" max="5" width="22.7109375" style="0" customWidth="1"/>
    <col min="6" max="6" width="12.140625" style="0" customWidth="1"/>
    <col min="7" max="7" width="9.28125" style="0" bestFit="1" customWidth="1"/>
  </cols>
  <sheetData>
    <row r="1" ht="12.75">
      <c r="B1" s="804" t="s">
        <v>174</v>
      </c>
    </row>
    <row r="2" ht="12.75">
      <c r="B2" s="20" t="s">
        <v>24</v>
      </c>
    </row>
    <row r="4" spans="1:4" ht="15">
      <c r="A4" s="1382" t="s">
        <v>163</v>
      </c>
      <c r="B4" s="1382"/>
      <c r="C4" s="1382"/>
      <c r="D4" s="72"/>
    </row>
    <row r="5" spans="1:4" ht="15">
      <c r="A5" s="1387" t="s">
        <v>1480</v>
      </c>
      <c r="B5" s="1387"/>
      <c r="C5" s="1387"/>
      <c r="D5" s="765"/>
    </row>
    <row r="6" spans="1:4" ht="15">
      <c r="A6" s="97"/>
      <c r="B6" s="91"/>
      <c r="C6" s="98" t="s">
        <v>28</v>
      </c>
      <c r="D6" s="98" t="s">
        <v>29</v>
      </c>
    </row>
    <row r="7" spans="1:4" ht="12.75">
      <c r="A7" s="12">
        <v>511115</v>
      </c>
      <c r="B7" s="12" t="s">
        <v>178</v>
      </c>
      <c r="C7" s="35">
        <f>SUM(C8:C19)</f>
        <v>114137400</v>
      </c>
      <c r="D7" s="35">
        <f>SUM(D8:D19)</f>
        <v>114137</v>
      </c>
    </row>
    <row r="8" spans="1:6" ht="12.75">
      <c r="A8" s="12"/>
      <c r="B8" s="14" t="s">
        <v>743</v>
      </c>
      <c r="C8" s="768">
        <f>75500*47*11</f>
        <v>39033500</v>
      </c>
      <c r="D8" s="35">
        <v>39033</v>
      </c>
      <c r="E8">
        <f>47*(11/12)</f>
        <v>43.08333333333333</v>
      </c>
      <c r="F8">
        <f>C8/E8/12</f>
        <v>75500.00000000001</v>
      </c>
    </row>
    <row r="9" spans="1:6" ht="12.75">
      <c r="A9" s="12"/>
      <c r="B9" s="14" t="s">
        <v>744</v>
      </c>
      <c r="C9" s="15">
        <f>96800*8*11</f>
        <v>8518400</v>
      </c>
      <c r="D9" s="35">
        <f aca="true" t="shared" si="0" ref="D9:D19">+ROUND(C9,-3)/1000</f>
        <v>8518</v>
      </c>
      <c r="E9">
        <f>8*(11/12)</f>
        <v>7.333333333333333</v>
      </c>
      <c r="F9">
        <f aca="true" t="shared" si="1" ref="F9:F20">C9/E9/12</f>
        <v>96800</v>
      </c>
    </row>
    <row r="10" spans="1:6" ht="12.75">
      <c r="A10" s="12"/>
      <c r="B10" s="14" t="s">
        <v>745</v>
      </c>
      <c r="C10" s="15">
        <f>75500*5*9</f>
        <v>3397500</v>
      </c>
      <c r="D10" s="35">
        <v>3397</v>
      </c>
      <c r="E10">
        <f>5*(9/12)</f>
        <v>3.75</v>
      </c>
      <c r="F10">
        <f t="shared" si="1"/>
        <v>75500</v>
      </c>
    </row>
    <row r="11" spans="1:6" ht="12.75">
      <c r="A11" s="12"/>
      <c r="B11" s="14" t="s">
        <v>746</v>
      </c>
      <c r="C11" s="15">
        <v>968000</v>
      </c>
      <c r="D11" s="35">
        <f t="shared" si="0"/>
        <v>968</v>
      </c>
      <c r="E11">
        <f>1*(10/12)</f>
        <v>0.8333333333333334</v>
      </c>
      <c r="F11">
        <f t="shared" si="1"/>
        <v>96800</v>
      </c>
    </row>
    <row r="12" spans="1:6" ht="12.75">
      <c r="A12" s="14"/>
      <c r="B12" s="14" t="s">
        <v>753</v>
      </c>
      <c r="C12" s="18">
        <f>75500*9*10</f>
        <v>6795000</v>
      </c>
      <c r="D12" s="35">
        <f t="shared" si="0"/>
        <v>6795</v>
      </c>
      <c r="E12">
        <f>9*(10/12)</f>
        <v>7.5</v>
      </c>
      <c r="F12">
        <f t="shared" si="1"/>
        <v>75500</v>
      </c>
    </row>
    <row r="13" spans="1:6" ht="12.75">
      <c r="A13" s="14"/>
      <c r="B13" s="14" t="s">
        <v>747</v>
      </c>
      <c r="C13" s="15">
        <v>968000</v>
      </c>
      <c r="D13" s="35">
        <f t="shared" si="0"/>
        <v>968</v>
      </c>
      <c r="E13">
        <f>1*(10/12)</f>
        <v>0.8333333333333334</v>
      </c>
      <c r="F13">
        <f t="shared" si="1"/>
        <v>96800</v>
      </c>
    </row>
    <row r="14" spans="1:6" ht="12.75">
      <c r="A14" s="14"/>
      <c r="B14" s="14" t="s">
        <v>747</v>
      </c>
      <c r="C14" s="15">
        <v>968000</v>
      </c>
      <c r="D14" s="35">
        <f t="shared" si="0"/>
        <v>968</v>
      </c>
      <c r="E14">
        <f>1*(10/12)</f>
        <v>0.8333333333333334</v>
      </c>
      <c r="F14">
        <f t="shared" si="1"/>
        <v>96800</v>
      </c>
    </row>
    <row r="15" spans="1:6" ht="12.75">
      <c r="A15" s="14"/>
      <c r="B15" s="42" t="s">
        <v>748</v>
      </c>
      <c r="C15" s="18">
        <f>75500*13*10</f>
        <v>9815000</v>
      </c>
      <c r="D15" s="35">
        <f t="shared" si="0"/>
        <v>9815</v>
      </c>
      <c r="E15">
        <f>13*(10/12)</f>
        <v>10.833333333333334</v>
      </c>
      <c r="F15">
        <f t="shared" si="1"/>
        <v>75500</v>
      </c>
    </row>
    <row r="16" spans="1:6" ht="12.75">
      <c r="A16" s="446"/>
      <c r="B16" s="42" t="s">
        <v>749</v>
      </c>
      <c r="C16" s="18">
        <f>75500*47*9</f>
        <v>31936500</v>
      </c>
      <c r="D16" s="35">
        <f t="shared" si="0"/>
        <v>31937</v>
      </c>
      <c r="E16">
        <f>47*(9/12)</f>
        <v>35.25</v>
      </c>
      <c r="F16">
        <f t="shared" si="1"/>
        <v>75500</v>
      </c>
    </row>
    <row r="17" spans="1:6" ht="12.75">
      <c r="A17" s="446"/>
      <c r="B17" s="42" t="s">
        <v>750</v>
      </c>
      <c r="C17" s="18">
        <f>96800*3*9</f>
        <v>2613600</v>
      </c>
      <c r="D17" s="35">
        <f t="shared" si="0"/>
        <v>2614</v>
      </c>
      <c r="E17">
        <f>3*(9/12)</f>
        <v>2.25</v>
      </c>
      <c r="F17">
        <f t="shared" si="1"/>
        <v>96800</v>
      </c>
    </row>
    <row r="18" spans="1:6" ht="12.75">
      <c r="A18" s="446"/>
      <c r="B18" s="14" t="s">
        <v>751</v>
      </c>
      <c r="C18" s="15">
        <f>96800*3*1</f>
        <v>290400</v>
      </c>
      <c r="D18" s="35">
        <f t="shared" si="0"/>
        <v>290</v>
      </c>
      <c r="E18">
        <f>1*(3/12)</f>
        <v>0.25</v>
      </c>
      <c r="F18">
        <f t="shared" si="1"/>
        <v>96800</v>
      </c>
    </row>
    <row r="19" spans="1:6" ht="12.75">
      <c r="A19" s="446"/>
      <c r="B19" s="14" t="s">
        <v>752</v>
      </c>
      <c r="C19" s="15">
        <f>75500*39*3</f>
        <v>8833500</v>
      </c>
      <c r="D19" s="35">
        <f t="shared" si="0"/>
        <v>8834</v>
      </c>
      <c r="E19">
        <f>39*(3/12)</f>
        <v>9.75</v>
      </c>
      <c r="F19">
        <f t="shared" si="1"/>
        <v>75500</v>
      </c>
    </row>
    <row r="20" spans="1:6" ht="12.75">
      <c r="A20" s="12">
        <v>516115</v>
      </c>
      <c r="B20" s="12" t="s">
        <v>910</v>
      </c>
      <c r="C20" s="35">
        <f>SUM(C21:C25)</f>
        <v>0</v>
      </c>
      <c r="D20" s="35">
        <f>+ROUND(C20,-3)/1000</f>
        <v>0</v>
      </c>
      <c r="E20">
        <f>SUM(E8:E19)</f>
        <v>122.5</v>
      </c>
      <c r="F20">
        <f t="shared" si="1"/>
        <v>0</v>
      </c>
    </row>
    <row r="21" spans="1:6" ht="12.75">
      <c r="A21" s="12"/>
      <c r="B21" s="14"/>
      <c r="C21" s="18"/>
      <c r="D21" s="15"/>
      <c r="E21">
        <f>C19/E20</f>
        <v>72110.20408163265</v>
      </c>
      <c r="F21">
        <f>C7/E20/12</f>
        <v>77644.48979591836</v>
      </c>
    </row>
    <row r="22" spans="1:4" ht="12.75">
      <c r="A22" s="14"/>
      <c r="B22" s="14"/>
      <c r="C22" s="15"/>
      <c r="D22" s="15"/>
    </row>
    <row r="23" spans="1:4" ht="12.75">
      <c r="A23" s="14"/>
      <c r="B23" s="14"/>
      <c r="C23" s="15"/>
      <c r="D23" s="15"/>
    </row>
    <row r="24" spans="1:4" ht="12.75">
      <c r="A24" s="14"/>
      <c r="B24" s="14"/>
      <c r="C24" s="15"/>
      <c r="D24" s="35"/>
    </row>
    <row r="25" spans="1:4" ht="12.75">
      <c r="A25" s="14"/>
      <c r="B25" s="14"/>
      <c r="C25" s="15"/>
      <c r="D25" s="35"/>
    </row>
    <row r="26" spans="1:4" ht="12.75">
      <c r="A26" s="462"/>
      <c r="B26" s="462"/>
      <c r="C26" s="453"/>
      <c r="D26" s="450"/>
    </row>
    <row r="27" spans="1:4" ht="12.75">
      <c r="A27" s="671"/>
      <c r="B27" s="672"/>
      <c r="C27" s="769"/>
      <c r="D27" s="674"/>
    </row>
    <row r="28" spans="1:4" ht="12.75">
      <c r="A28" s="671"/>
      <c r="B28" s="672"/>
      <c r="C28" s="673"/>
      <c r="D28" s="674"/>
    </row>
    <row r="29" spans="1:4" ht="13.5" thickBot="1">
      <c r="A29" s="671"/>
      <c r="B29" s="672"/>
      <c r="C29" s="673"/>
      <c r="D29" s="674"/>
    </row>
    <row r="30" spans="1:4" ht="16.5" thickBot="1">
      <c r="A30" s="1365" t="s">
        <v>1484</v>
      </c>
      <c r="B30" s="1366"/>
      <c r="C30" s="1366"/>
      <c r="D30" s="663">
        <f>D7+D20</f>
        <v>114137</v>
      </c>
    </row>
    <row r="31" spans="1:4" ht="15">
      <c r="A31" s="1396" t="s">
        <v>1485</v>
      </c>
      <c r="B31" s="1396"/>
      <c r="C31" s="1396"/>
      <c r="D31" s="766"/>
    </row>
    <row r="32" spans="1:4" ht="12.75">
      <c r="A32" s="14">
        <v>53112</v>
      </c>
      <c r="B32" s="14" t="s">
        <v>1198</v>
      </c>
      <c r="C32" s="8">
        <f>SUM(C33:C34)</f>
        <v>15408549.000000002</v>
      </c>
      <c r="D32" s="15">
        <f>+ROUND(C32,-3)/1000</f>
        <v>15409</v>
      </c>
    </row>
    <row r="33" spans="1:4" ht="12.75">
      <c r="A33" s="462"/>
      <c r="B33" s="664" t="s">
        <v>911</v>
      </c>
      <c r="C33" s="342">
        <f>C7*0.135</f>
        <v>15408549.000000002</v>
      </c>
      <c r="D33" s="453"/>
    </row>
    <row r="34" spans="1:4" ht="13.5" thickBot="1">
      <c r="A34" s="671"/>
      <c r="B34" s="675">
        <v>0.27</v>
      </c>
      <c r="C34" s="673" t="s">
        <v>22</v>
      </c>
      <c r="D34" s="676"/>
    </row>
    <row r="35" spans="1:4" ht="16.5" thickBot="1">
      <c r="A35" s="1365" t="s">
        <v>981</v>
      </c>
      <c r="B35" s="1366"/>
      <c r="C35" s="1366"/>
      <c r="D35" s="443">
        <f>+D32</f>
        <v>15409</v>
      </c>
    </row>
    <row r="36" spans="1:4" ht="15">
      <c r="A36" s="1397" t="s">
        <v>1487</v>
      </c>
      <c r="B36" s="1397"/>
      <c r="C36" s="1397"/>
      <c r="D36" s="767"/>
    </row>
    <row r="37" spans="1:4" ht="12.75">
      <c r="A37" s="562">
        <v>13132</v>
      </c>
      <c r="B37" s="491" t="s">
        <v>19</v>
      </c>
      <c r="C37" s="459">
        <f>G79</f>
        <v>874015.7480314961</v>
      </c>
      <c r="D37" s="566">
        <f aca="true" t="shared" si="2" ref="D37:D42">ROUND(C37,-3)/1000</f>
        <v>874</v>
      </c>
    </row>
    <row r="38" spans="1:4" ht="12.75">
      <c r="A38" s="562">
        <v>54712</v>
      </c>
      <c r="B38" s="491" t="s">
        <v>905</v>
      </c>
      <c r="C38" s="459">
        <f>G78</f>
        <v>1453409.4488188976</v>
      </c>
      <c r="D38" s="566">
        <f t="shared" si="2"/>
        <v>1453</v>
      </c>
    </row>
    <row r="39" spans="1:9" ht="12.75">
      <c r="A39" s="562">
        <v>5481</v>
      </c>
      <c r="B39" s="491" t="s">
        <v>790</v>
      </c>
      <c r="C39" s="459">
        <f>G77</f>
        <v>400823.6220472441</v>
      </c>
      <c r="D39" s="566">
        <f t="shared" si="2"/>
        <v>401</v>
      </c>
      <c r="I39" s="10"/>
    </row>
    <row r="40" spans="1:4" ht="12.75">
      <c r="A40" s="562"/>
      <c r="B40" s="491" t="s">
        <v>203</v>
      </c>
      <c r="C40" s="459">
        <f>G80</f>
        <v>12192874.803149607</v>
      </c>
      <c r="D40" s="566">
        <f t="shared" si="2"/>
        <v>12193</v>
      </c>
    </row>
    <row r="41" spans="1:4" ht="12.75">
      <c r="A41" s="665">
        <v>57219</v>
      </c>
      <c r="B41" s="808" t="s">
        <v>20</v>
      </c>
      <c r="C41" s="992">
        <f>G82</f>
        <v>212204.72440944883</v>
      </c>
      <c r="D41" s="566">
        <f t="shared" si="2"/>
        <v>212</v>
      </c>
    </row>
    <row r="42" spans="1:9" ht="13.5" thickBot="1">
      <c r="A42" s="665">
        <v>56111</v>
      </c>
      <c r="B42" s="666" t="s">
        <v>994</v>
      </c>
      <c r="C42" s="992">
        <f>(C37+C38+C39+C40+C41)*0.27</f>
        <v>4085998.6535433074</v>
      </c>
      <c r="D42" s="566">
        <f t="shared" si="2"/>
        <v>4086</v>
      </c>
      <c r="I42" s="10"/>
    </row>
    <row r="43" spans="1:9" ht="16.5" thickBot="1">
      <c r="A43" s="809" t="s">
        <v>162</v>
      </c>
      <c r="B43" s="810"/>
      <c r="C43" s="993">
        <f>SUM(C37:C42)</f>
        <v>19219327</v>
      </c>
      <c r="D43" s="991">
        <f>SUM(D37:D42)</f>
        <v>19219</v>
      </c>
      <c r="I43" s="10"/>
    </row>
    <row r="44" spans="1:9" ht="15.75">
      <c r="A44" s="78"/>
      <c r="B44" s="78"/>
      <c r="C44" s="78"/>
      <c r="D44" s="79"/>
      <c r="I44" s="10"/>
    </row>
    <row r="45" spans="1:9" ht="15">
      <c r="A45" s="1387" t="s">
        <v>190</v>
      </c>
      <c r="B45" s="1387"/>
      <c r="C45" s="1387"/>
      <c r="D45" s="765"/>
      <c r="I45" s="10"/>
    </row>
    <row r="46" spans="1:9" ht="15">
      <c r="A46" s="91"/>
      <c r="B46" s="91"/>
      <c r="C46" s="91"/>
      <c r="D46" s="91"/>
      <c r="E46" s="10"/>
      <c r="F46" s="10"/>
      <c r="G46" s="10"/>
      <c r="H46" s="10"/>
      <c r="I46" s="10"/>
    </row>
    <row r="47" spans="1:4" ht="15.75">
      <c r="A47" s="1379" t="s">
        <v>158</v>
      </c>
      <c r="B47" s="1379"/>
      <c r="C47" s="1379"/>
      <c r="D47" s="76"/>
    </row>
    <row r="48" spans="1:4" ht="15">
      <c r="A48" s="91"/>
      <c r="B48" s="91"/>
      <c r="C48" s="91"/>
      <c r="D48" s="91"/>
    </row>
    <row r="49" spans="1:4" ht="15">
      <c r="A49" s="1387" t="s">
        <v>1496</v>
      </c>
      <c r="B49" s="1387"/>
      <c r="C49" s="1387"/>
      <c r="D49" s="765"/>
    </row>
    <row r="50" spans="1:4" ht="15">
      <c r="A50" s="91"/>
      <c r="B50" s="91"/>
      <c r="C50" s="91"/>
      <c r="D50" s="91"/>
    </row>
    <row r="51" spans="1:4" ht="15.75">
      <c r="A51" s="1379" t="s">
        <v>1497</v>
      </c>
      <c r="B51" s="1379"/>
      <c r="C51" s="1379"/>
      <c r="D51" s="76"/>
    </row>
    <row r="52" spans="1:4" ht="15">
      <c r="A52" s="91"/>
      <c r="B52" s="91"/>
      <c r="C52" s="91"/>
      <c r="D52" s="91"/>
    </row>
    <row r="53" spans="1:4" ht="15.75">
      <c r="A53" s="1376" t="s">
        <v>961</v>
      </c>
      <c r="B53" s="1376"/>
      <c r="C53" s="1376"/>
      <c r="D53" s="77">
        <f>+D51+D47+D43+D35+D30</f>
        <v>148765</v>
      </c>
    </row>
    <row r="56" spans="1:4" ht="12.75">
      <c r="A56" s="6"/>
      <c r="B56" s="14" t="s">
        <v>912</v>
      </c>
      <c r="C56" s="6"/>
      <c r="D56" s="6"/>
    </row>
    <row r="57" spans="1:4" ht="12.75">
      <c r="A57" s="6"/>
      <c r="B57" s="6"/>
      <c r="C57" s="6"/>
      <c r="D57" s="6"/>
    </row>
    <row r="58" spans="1:4" ht="12.75">
      <c r="A58" s="6">
        <v>4641221</v>
      </c>
      <c r="B58" s="14" t="s">
        <v>913</v>
      </c>
      <c r="C58" s="35">
        <f>SUM(C59:C61)</f>
        <v>148765276</v>
      </c>
      <c r="D58" s="35">
        <f>ROUND(C58,-3)/1000</f>
        <v>148765</v>
      </c>
    </row>
    <row r="59" spans="1:4" ht="12.75">
      <c r="A59" s="6"/>
      <c r="B59" s="14" t="s">
        <v>21</v>
      </c>
      <c r="C59" s="7">
        <f>C7+C33</f>
        <v>129545949</v>
      </c>
      <c r="D59" s="7">
        <f>+ROUND(C59,-3)/1000</f>
        <v>129546</v>
      </c>
    </row>
    <row r="60" spans="1:4" ht="12.75">
      <c r="A60" s="6"/>
      <c r="B60" s="14" t="s">
        <v>23</v>
      </c>
      <c r="C60" s="7"/>
      <c r="D60" s="7"/>
    </row>
    <row r="61" spans="1:4" ht="12.75">
      <c r="A61" s="6"/>
      <c r="B61" s="14" t="s">
        <v>64</v>
      </c>
      <c r="C61" s="7">
        <f>C43</f>
        <v>19219327</v>
      </c>
      <c r="D61" s="7">
        <f>+ROUND(C61,-3)/1000</f>
        <v>19219</v>
      </c>
    </row>
    <row r="62" spans="1:4" ht="15.75">
      <c r="A62" s="563" t="s">
        <v>164</v>
      </c>
      <c r="B62" s="563"/>
      <c r="C62" s="563"/>
      <c r="D62" s="564">
        <f>+D58</f>
        <v>148765</v>
      </c>
    </row>
    <row r="67" ht="12.75">
      <c r="B67" s="10" t="s">
        <v>12</v>
      </c>
    </row>
    <row r="68" spans="2:3" ht="12.75">
      <c r="B68" t="s">
        <v>11</v>
      </c>
      <c r="C68">
        <v>246786</v>
      </c>
    </row>
    <row r="69" spans="2:3" ht="12.75">
      <c r="B69" t="s">
        <v>13</v>
      </c>
      <c r="C69">
        <v>204000</v>
      </c>
    </row>
    <row r="70" spans="2:3" ht="12.75">
      <c r="B70" t="s">
        <v>14</v>
      </c>
      <c r="C70">
        <v>8837630</v>
      </c>
    </row>
    <row r="72" ht="12.75">
      <c r="B72" s="10" t="s">
        <v>15</v>
      </c>
    </row>
    <row r="73" spans="2:3" ht="12.75">
      <c r="B73" t="s">
        <v>11</v>
      </c>
      <c r="C73">
        <v>15910</v>
      </c>
    </row>
    <row r="74" spans="2:3" ht="12.75">
      <c r="B74" t="s">
        <v>13</v>
      </c>
      <c r="C74">
        <v>9700</v>
      </c>
    </row>
    <row r="75" spans="2:3" ht="12.75">
      <c r="B75" t="s">
        <v>14</v>
      </c>
      <c r="C75">
        <v>200000</v>
      </c>
    </row>
    <row r="77" spans="2:7" ht="12.75">
      <c r="B77" s="10" t="s">
        <v>16</v>
      </c>
      <c r="E77" t="s">
        <v>11</v>
      </c>
      <c r="F77">
        <f>C68+C73+C78+C84+C92+C97</f>
        <v>509046</v>
      </c>
      <c r="G77" s="207">
        <f aca="true" t="shared" si="3" ref="G77:G82">F77/1.27</f>
        <v>400823.6220472441</v>
      </c>
    </row>
    <row r="78" spans="2:7" ht="12.75">
      <c r="B78" t="s">
        <v>11</v>
      </c>
      <c r="C78">
        <v>67610</v>
      </c>
      <c r="E78" t="s">
        <v>13</v>
      </c>
      <c r="F78">
        <f>C69+C74+C79+C85+C93+C98</f>
        <v>1845830</v>
      </c>
      <c r="G78" s="207">
        <f t="shared" si="3"/>
        <v>1453409.4488188976</v>
      </c>
    </row>
    <row r="79" spans="2:7" ht="12.75">
      <c r="B79" t="s">
        <v>13</v>
      </c>
      <c r="C79">
        <v>36250</v>
      </c>
      <c r="E79" t="s">
        <v>857</v>
      </c>
      <c r="F79">
        <f>C80+C86</f>
        <v>1110000</v>
      </c>
      <c r="G79" s="207">
        <f t="shared" si="3"/>
        <v>874015.7480314961</v>
      </c>
    </row>
    <row r="80" spans="2:7" ht="12.75">
      <c r="B80" t="s">
        <v>857</v>
      </c>
      <c r="C80">
        <v>645000</v>
      </c>
      <c r="E80" t="s">
        <v>14</v>
      </c>
      <c r="F80">
        <f>C70+C75+C81+C87+C88+C94+C99</f>
        <v>15484951</v>
      </c>
      <c r="G80" s="207">
        <f t="shared" si="3"/>
        <v>12192874.803149607</v>
      </c>
    </row>
    <row r="81" spans="2:7" ht="12.75">
      <c r="B81" t="s">
        <v>14</v>
      </c>
      <c r="C81">
        <v>1467540</v>
      </c>
      <c r="G81" s="207">
        <f t="shared" si="3"/>
        <v>0</v>
      </c>
    </row>
    <row r="82" spans="5:7" ht="12.75">
      <c r="E82" s="328" t="s">
        <v>89</v>
      </c>
      <c r="F82">
        <f>C89</f>
        <v>269500</v>
      </c>
      <c r="G82" s="207">
        <f t="shared" si="3"/>
        <v>212204.72440944883</v>
      </c>
    </row>
    <row r="83" ht="12.75">
      <c r="B83" s="10" t="s">
        <v>17</v>
      </c>
    </row>
    <row r="84" spans="2:7" ht="12.75">
      <c r="B84" t="s">
        <v>11</v>
      </c>
      <c r="C84">
        <v>11000</v>
      </c>
      <c r="F84">
        <f>SUM(F77:F82)</f>
        <v>19219327</v>
      </c>
      <c r="G84">
        <f>SUM(G77:G82)</f>
        <v>15133328.346456693</v>
      </c>
    </row>
    <row r="85" spans="2:3" ht="12.75">
      <c r="B85" t="s">
        <v>13</v>
      </c>
      <c r="C85">
        <v>1118505</v>
      </c>
    </row>
    <row r="86" spans="2:3" ht="12.75">
      <c r="B86" t="s">
        <v>857</v>
      </c>
      <c r="C86">
        <v>465000</v>
      </c>
    </row>
    <row r="87" spans="2:3" ht="12.75">
      <c r="B87" t="s">
        <v>14</v>
      </c>
      <c r="C87">
        <v>3309361</v>
      </c>
    </row>
    <row r="88" spans="2:3" ht="12.75">
      <c r="B88" t="s">
        <v>14</v>
      </c>
      <c r="C88">
        <v>105100</v>
      </c>
    </row>
    <row r="89" spans="1:3" ht="12.75">
      <c r="A89">
        <v>57219</v>
      </c>
      <c r="B89" s="328" t="s">
        <v>89</v>
      </c>
      <c r="C89">
        <v>269500</v>
      </c>
    </row>
    <row r="91" ht="12.75">
      <c r="B91" s="10" t="s">
        <v>18</v>
      </c>
    </row>
    <row r="92" spans="2:3" ht="12.75">
      <c r="B92" t="s">
        <v>11</v>
      </c>
      <c r="C92">
        <v>159100</v>
      </c>
    </row>
    <row r="93" spans="2:3" ht="12.75">
      <c r="B93" t="s">
        <v>13</v>
      </c>
      <c r="C93">
        <v>208500</v>
      </c>
    </row>
    <row r="94" spans="2:3" ht="12.75">
      <c r="B94" t="s">
        <v>14</v>
      </c>
      <c r="C94">
        <v>475800</v>
      </c>
    </row>
    <row r="96" ht="12.75">
      <c r="B96" s="10" t="s">
        <v>10</v>
      </c>
    </row>
    <row r="97" spans="2:3" ht="12.75">
      <c r="B97" t="s">
        <v>11</v>
      </c>
      <c r="C97">
        <v>8640</v>
      </c>
    </row>
    <row r="98" spans="2:3" ht="12.75">
      <c r="B98" t="s">
        <v>13</v>
      </c>
      <c r="C98">
        <v>268875</v>
      </c>
    </row>
    <row r="99" spans="2:3" ht="12.75">
      <c r="B99" t="s">
        <v>14</v>
      </c>
      <c r="C99">
        <v>1089520</v>
      </c>
    </row>
  </sheetData>
  <sheetProtection/>
  <mergeCells count="11">
    <mergeCell ref="A51:C51"/>
    <mergeCell ref="A4:C4"/>
    <mergeCell ref="A5:C5"/>
    <mergeCell ref="A30:C30"/>
    <mergeCell ref="A31:C31"/>
    <mergeCell ref="A53:C53"/>
    <mergeCell ref="A35:C35"/>
    <mergeCell ref="A36:C36"/>
    <mergeCell ref="A45:C45"/>
    <mergeCell ref="A47:C47"/>
    <mergeCell ref="A49:C49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2" max="255" man="1"/>
  </rowBreaks>
  <colBreaks count="1" manualBreakCount="1">
    <brk id="4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view="pageBreakPreview" zoomScaleSheetLayoutView="100" zoomScalePageLayoutView="0" workbookViewId="0" topLeftCell="A13">
      <selection activeCell="E18" sqref="E18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345"/>
      <c r="B2" s="346" t="s">
        <v>756</v>
      </c>
      <c r="C2" s="345"/>
    </row>
    <row r="4" spans="1:5" ht="15">
      <c r="A4" s="1386" t="s">
        <v>163</v>
      </c>
      <c r="B4" s="1386"/>
      <c r="C4" s="1386"/>
      <c r="D4" s="1386"/>
      <c r="E4" s="1386"/>
    </row>
    <row r="6" spans="1:5" s="30" customFormat="1" ht="15.75">
      <c r="A6" s="14">
        <v>52211</v>
      </c>
      <c r="B6" s="14" t="s">
        <v>364</v>
      </c>
      <c r="C6" s="14"/>
      <c r="D6" s="14"/>
      <c r="E6" s="14"/>
    </row>
    <row r="7" spans="1:5" ht="15.75">
      <c r="A7" s="1383" t="s">
        <v>365</v>
      </c>
      <c r="B7" s="1399"/>
      <c r="C7" s="1399"/>
      <c r="D7" s="1399"/>
      <c r="E7" s="444">
        <f>E6</f>
        <v>0</v>
      </c>
    </row>
    <row r="8" spans="1:5" s="596" customFormat="1" ht="15.75">
      <c r="A8" s="593"/>
      <c r="B8" s="594"/>
      <c r="C8" s="594"/>
      <c r="D8" s="594"/>
      <c r="E8" s="595"/>
    </row>
    <row r="9" spans="1:5" s="30" customFormat="1" ht="15.75">
      <c r="A9" s="14">
        <v>5331</v>
      </c>
      <c r="B9" s="14" t="s">
        <v>1486</v>
      </c>
      <c r="C9" s="14"/>
      <c r="D9" s="14"/>
      <c r="E9" s="15"/>
    </row>
    <row r="10" spans="1:5" ht="15.75">
      <c r="A10" s="1383" t="s">
        <v>366</v>
      </c>
      <c r="B10" s="1399"/>
      <c r="C10" s="1399"/>
      <c r="D10" s="1399"/>
      <c r="E10" s="444">
        <f>E9</f>
        <v>0</v>
      </c>
    </row>
    <row r="12" spans="1:5" ht="15">
      <c r="A12" s="1387" t="s">
        <v>1487</v>
      </c>
      <c r="B12" s="1387"/>
      <c r="C12" s="1387"/>
      <c r="D12" s="1387"/>
      <c r="E12" s="1387"/>
    </row>
    <row r="13" spans="1:5" ht="15">
      <c r="A13" s="1387" t="s">
        <v>983</v>
      </c>
      <c r="B13" s="1387"/>
      <c r="C13" s="1387"/>
      <c r="D13" s="1387"/>
      <c r="E13" s="1387"/>
    </row>
    <row r="14" spans="3:5" ht="15">
      <c r="C14" s="98"/>
      <c r="D14" s="98"/>
      <c r="E14" s="98"/>
    </row>
    <row r="15" spans="1:6" ht="15">
      <c r="A15" s="14">
        <v>55214</v>
      </c>
      <c r="B15" s="491" t="s">
        <v>989</v>
      </c>
      <c r="C15" s="15"/>
      <c r="D15" s="15"/>
      <c r="E15" s="15">
        <f>6500+600</f>
        <v>7100</v>
      </c>
      <c r="F15" s="91">
        <v>2400</v>
      </c>
    </row>
    <row r="16" spans="1:5" ht="15">
      <c r="A16" s="14">
        <v>55215</v>
      </c>
      <c r="B16" s="491" t="s">
        <v>131</v>
      </c>
      <c r="C16" s="15"/>
      <c r="D16" s="15"/>
      <c r="E16" s="15">
        <f>800+500</f>
        <v>1300</v>
      </c>
    </row>
    <row r="17" spans="1:5" ht="15">
      <c r="A17" s="14">
        <v>55217</v>
      </c>
      <c r="B17" s="491" t="s">
        <v>991</v>
      </c>
      <c r="C17" s="15"/>
      <c r="D17" s="15"/>
      <c r="E17" s="15">
        <f>3400+100</f>
        <v>3500</v>
      </c>
    </row>
    <row r="18" spans="1:5" ht="15">
      <c r="A18" s="14">
        <v>55219</v>
      </c>
      <c r="B18" s="491" t="s">
        <v>758</v>
      </c>
      <c r="C18" s="15">
        <f>SUM(C19:C21)</f>
        <v>718006</v>
      </c>
      <c r="D18" s="15"/>
      <c r="E18" s="15">
        <f>ROUND(C18,-3)/1000</f>
        <v>718</v>
      </c>
    </row>
    <row r="19" spans="1:5" ht="15">
      <c r="A19" s="14"/>
      <c r="B19" s="998" t="s">
        <v>759</v>
      </c>
      <c r="C19" s="15">
        <v>137160</v>
      </c>
      <c r="D19" s="15"/>
      <c r="E19" s="15"/>
    </row>
    <row r="20" spans="1:5" ht="15">
      <c r="A20" s="14"/>
      <c r="B20" s="998" t="s">
        <v>760</v>
      </c>
      <c r="C20" s="15">
        <v>31945</v>
      </c>
      <c r="D20" s="15"/>
      <c r="E20" s="15"/>
    </row>
    <row r="21" spans="1:5" ht="15">
      <c r="A21" s="14"/>
      <c r="B21" s="998" t="s">
        <v>761</v>
      </c>
      <c r="C21" s="15">
        <v>548901</v>
      </c>
      <c r="D21" s="15"/>
      <c r="E21" s="15"/>
    </row>
    <row r="22" spans="1:5" ht="15">
      <c r="A22" s="461">
        <v>56111</v>
      </c>
      <c r="B22" s="492" t="s">
        <v>994</v>
      </c>
      <c r="C22" s="492"/>
      <c r="D22" s="492"/>
      <c r="E22" s="493">
        <f>+(E17+E16+E15+E18)*0.27</f>
        <v>3406.86</v>
      </c>
    </row>
    <row r="23" spans="1:5" ht="15">
      <c r="A23" s="461">
        <v>57219</v>
      </c>
      <c r="B23" s="492" t="s">
        <v>757</v>
      </c>
      <c r="C23" s="493">
        <f>354284</f>
        <v>354284</v>
      </c>
      <c r="D23" s="493">
        <f>SUM(C24:C26)</f>
        <v>0</v>
      </c>
      <c r="E23" s="493">
        <f>+ROUND(C23,-3)/1000</f>
        <v>354</v>
      </c>
    </row>
    <row r="24" spans="1:5" ht="15">
      <c r="A24" s="461"/>
      <c r="B24" s="492" t="s">
        <v>1225</v>
      </c>
      <c r="C24" s="493"/>
      <c r="D24" s="493"/>
      <c r="E24" s="493"/>
    </row>
    <row r="25" spans="1:5" ht="15">
      <c r="A25" s="461"/>
      <c r="B25" s="492" t="s">
        <v>1224</v>
      </c>
      <c r="C25" s="493"/>
      <c r="D25" s="493"/>
      <c r="E25" s="493"/>
    </row>
    <row r="26" spans="1:5" ht="15">
      <c r="A26" s="461"/>
      <c r="B26" s="492" t="s">
        <v>1226</v>
      </c>
      <c r="C26" s="493"/>
      <c r="D26" s="493"/>
      <c r="E26" s="493"/>
    </row>
    <row r="27" spans="1:5" ht="15.75">
      <c r="A27" s="1398" t="s">
        <v>162</v>
      </c>
      <c r="B27" s="1398"/>
      <c r="C27" s="1398"/>
      <c r="D27" s="1398"/>
      <c r="E27" s="108">
        <f>SUM(E15:E26)</f>
        <v>16378.86</v>
      </c>
    </row>
    <row r="28" spans="1:5" ht="15.75">
      <c r="A28" s="1400" t="s">
        <v>961</v>
      </c>
      <c r="B28" s="1400"/>
      <c r="C28" s="1400"/>
      <c r="D28" s="1400"/>
      <c r="E28" s="110">
        <f>E7+E10+E27</f>
        <v>16378.86</v>
      </c>
    </row>
    <row r="29" spans="1:5" ht="15">
      <c r="A29" s="1386" t="s">
        <v>963</v>
      </c>
      <c r="B29" s="1386"/>
      <c r="C29" s="1386"/>
      <c r="D29" s="1386"/>
      <c r="E29" s="1386"/>
    </row>
    <row r="30" spans="1:5" ht="15">
      <c r="A30" s="112"/>
      <c r="B30" s="112"/>
      <c r="C30" s="113"/>
      <c r="D30" s="113"/>
      <c r="E30" s="113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386" t="s">
        <v>964</v>
      </c>
      <c r="B33" s="1386"/>
      <c r="C33" s="1386"/>
      <c r="D33" s="1386"/>
      <c r="E33" s="1386"/>
    </row>
  </sheetData>
  <sheetProtection/>
  <mergeCells count="9">
    <mergeCell ref="A33:E33"/>
    <mergeCell ref="A13:E13"/>
    <mergeCell ref="A27:D27"/>
    <mergeCell ref="A4:E4"/>
    <mergeCell ref="A7:D7"/>
    <mergeCell ref="A10:D10"/>
    <mergeCell ref="A12:E12"/>
    <mergeCell ref="A28:D28"/>
    <mergeCell ref="A29:E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67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67.140625" style="0" bestFit="1" customWidth="1"/>
    <col min="2" max="2" width="14.7109375" style="0" customWidth="1"/>
    <col min="3" max="3" width="13.28125" style="0" customWidth="1"/>
    <col min="4" max="4" width="10.7109375" style="0" customWidth="1"/>
    <col min="5" max="5" width="11.28125" style="0" customWidth="1"/>
  </cols>
  <sheetData>
    <row r="1" ht="12.75">
      <c r="E1" s="27" t="s">
        <v>545</v>
      </c>
    </row>
    <row r="3" spans="1:14" ht="12.75">
      <c r="A3" s="1225"/>
      <c r="B3" s="1225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5" spans="1:3" ht="34.5" customHeight="1">
      <c r="A5" s="1260" t="s">
        <v>1532</v>
      </c>
      <c r="B5" s="1260"/>
      <c r="C5" s="1260"/>
    </row>
    <row r="7" ht="12.75">
      <c r="E7" s="27" t="s">
        <v>161</v>
      </c>
    </row>
    <row r="8" spans="1:5" s="10" customFormat="1" ht="26.25" customHeight="1">
      <c r="A8" s="53" t="s">
        <v>1026</v>
      </c>
      <c r="B8" s="17" t="s">
        <v>160</v>
      </c>
      <c r="C8" s="17" t="s">
        <v>442</v>
      </c>
      <c r="D8" s="17" t="s">
        <v>1528</v>
      </c>
      <c r="E8" s="17" t="s">
        <v>1529</v>
      </c>
    </row>
    <row r="9" spans="1:5" s="10" customFormat="1" ht="12.75">
      <c r="A9" s="46" t="s">
        <v>516</v>
      </c>
      <c r="B9" s="49">
        <f>SUM(B10:B14)-1</f>
        <v>937399.5519999999</v>
      </c>
      <c r="C9" s="49">
        <f>SUM(C10:C14)-1</f>
        <v>947273.5519999999</v>
      </c>
      <c r="D9" s="49">
        <f>SUM(D10:D14)</f>
        <v>497869.89200000005</v>
      </c>
      <c r="E9" s="1110">
        <f>D9/C9</f>
        <v>0.5255819619885261</v>
      </c>
    </row>
    <row r="10" spans="1:5" s="10" customFormat="1" ht="12.75">
      <c r="A10" s="272" t="s">
        <v>517</v>
      </c>
      <c r="B10" s="15">
        <f>+2bm!B20</f>
        <v>357500</v>
      </c>
      <c r="C10" s="15">
        <f>+2bm!C20</f>
        <v>362106</v>
      </c>
      <c r="D10" s="15">
        <f>+2bm!D20</f>
        <v>169569.538</v>
      </c>
      <c r="E10" s="1110">
        <f aca="true" t="shared" si="0" ref="E10:E25">D10/C10</f>
        <v>0.4682870154043291</v>
      </c>
    </row>
    <row r="11" spans="1:5" s="10" customFormat="1" ht="12.75">
      <c r="A11" s="272" t="s">
        <v>518</v>
      </c>
      <c r="B11" s="15">
        <f>+2bm!F20</f>
        <v>78876.09</v>
      </c>
      <c r="C11" s="15">
        <f>+2bm!G20</f>
        <v>80108.09</v>
      </c>
      <c r="D11" s="15">
        <f>+2bm!H20</f>
        <v>36301.05</v>
      </c>
      <c r="E11" s="1110">
        <f t="shared" si="0"/>
        <v>0.45315086154219886</v>
      </c>
    </row>
    <row r="12" spans="1:5" s="10" customFormat="1" ht="12.75">
      <c r="A12" s="272" t="s">
        <v>520</v>
      </c>
      <c r="B12" s="15">
        <f>+2bm!J20</f>
        <v>276729.462</v>
      </c>
      <c r="C12" s="15">
        <f>+2bm!K20</f>
        <v>291377.462</v>
      </c>
      <c r="D12" s="15">
        <f>+2bm!L20</f>
        <v>182543.48400000003</v>
      </c>
      <c r="E12" s="1110">
        <f t="shared" si="0"/>
        <v>0.6264845700385708</v>
      </c>
    </row>
    <row r="13" spans="1:5" s="10" customFormat="1" ht="12.75">
      <c r="A13" s="272" t="s">
        <v>519</v>
      </c>
      <c r="B13" s="15">
        <f>+2bm!N20</f>
        <v>122342</v>
      </c>
      <c r="C13" s="15">
        <f>+2bm!O20</f>
        <v>122342</v>
      </c>
      <c r="D13" s="15">
        <f>+2bm!P20</f>
        <v>57957.848999999995</v>
      </c>
      <c r="E13" s="1110">
        <f t="shared" si="0"/>
        <v>0.47373632113256275</v>
      </c>
    </row>
    <row r="14" spans="1:5" s="10" customFormat="1" ht="12.75">
      <c r="A14" s="272" t="s">
        <v>521</v>
      </c>
      <c r="B14" s="15">
        <f>SUM(B15:B18)</f>
        <v>101953</v>
      </c>
      <c r="C14" s="15">
        <f>SUM(C15:C18)</f>
        <v>91341</v>
      </c>
      <c r="D14" s="15">
        <f>SUM(D15:D18)</f>
        <v>51497.971</v>
      </c>
      <c r="E14" s="1110">
        <f t="shared" si="0"/>
        <v>0.5637990716107771</v>
      </c>
    </row>
    <row r="15" spans="1:5" s="10" customFormat="1" ht="12.75">
      <c r="A15" s="310" t="s">
        <v>522</v>
      </c>
      <c r="B15" s="15">
        <f>SUM(2bm!R20)</f>
        <v>12342</v>
      </c>
      <c r="C15" s="15">
        <f>SUM(2bm!S20)</f>
        <v>8402</v>
      </c>
      <c r="D15" s="15">
        <f>SUM(2bm!T20)</f>
        <v>6926.798</v>
      </c>
      <c r="E15" s="1110">
        <f t="shared" si="0"/>
        <v>0.8244225184479885</v>
      </c>
    </row>
    <row r="16" spans="1:5" s="10" customFormat="1" ht="12.75">
      <c r="A16" s="310" t="s">
        <v>523</v>
      </c>
      <c r="B16" s="15">
        <f>SUM(2bm!V20)</f>
        <v>89611</v>
      </c>
      <c r="C16" s="15">
        <f>SUM(2bm!W20)</f>
        <v>82939</v>
      </c>
      <c r="D16" s="15">
        <f>SUM(2bm!X20)</f>
        <v>44571.172999999995</v>
      </c>
      <c r="E16" s="1110">
        <f t="shared" si="0"/>
        <v>0.5373970387875426</v>
      </c>
    </row>
    <row r="17" spans="1:5" s="10" customFormat="1" ht="12.75">
      <c r="A17" s="310" t="s">
        <v>524</v>
      </c>
      <c r="B17" s="15">
        <v>0</v>
      </c>
      <c r="C17" s="15">
        <v>0</v>
      </c>
      <c r="D17" s="15">
        <v>0</v>
      </c>
      <c r="E17" s="1110">
        <v>0</v>
      </c>
    </row>
    <row r="18" spans="1:5" s="10" customFormat="1" ht="12.75">
      <c r="A18" s="310" t="s">
        <v>525</v>
      </c>
      <c r="B18" s="15">
        <v>0</v>
      </c>
      <c r="C18" s="15">
        <v>0</v>
      </c>
      <c r="D18" s="15">
        <v>0</v>
      </c>
      <c r="E18" s="1110">
        <v>0</v>
      </c>
    </row>
    <row r="19" spans="1:5" s="10" customFormat="1" ht="12.75">
      <c r="A19" s="46" t="s">
        <v>526</v>
      </c>
      <c r="B19" s="35">
        <v>0</v>
      </c>
      <c r="C19" s="35">
        <v>0</v>
      </c>
      <c r="D19" s="35">
        <v>0</v>
      </c>
      <c r="E19" s="1110">
        <v>0</v>
      </c>
    </row>
    <row r="20" spans="1:5" s="10" customFormat="1" ht="12.75">
      <c r="A20" s="10" t="s">
        <v>534</v>
      </c>
      <c r="B20" s="35">
        <f>+B21</f>
        <v>213346.15594000003</v>
      </c>
      <c r="C20" s="35">
        <f>+C21</f>
        <v>213346.15594000003</v>
      </c>
      <c r="D20" s="35">
        <f>+D21</f>
        <v>0</v>
      </c>
      <c r="E20" s="1110">
        <f t="shared" si="0"/>
        <v>0</v>
      </c>
    </row>
    <row r="21" spans="1:5" s="10" customFormat="1" ht="12.75">
      <c r="A21" s="1065" t="s">
        <v>528</v>
      </c>
      <c r="B21" s="18">
        <f>+2am!Z20</f>
        <v>213346.15594000003</v>
      </c>
      <c r="C21" s="18">
        <f>+2am!AA20</f>
        <v>213346.15594000003</v>
      </c>
      <c r="D21" s="18">
        <f>+2am!AB20</f>
        <v>0</v>
      </c>
      <c r="E21" s="1110">
        <f t="shared" si="0"/>
        <v>0</v>
      </c>
    </row>
    <row r="22" spans="1:5" s="10" customFormat="1" ht="12.75">
      <c r="A22" s="46" t="s">
        <v>535</v>
      </c>
      <c r="B22" s="35">
        <f>SUM(B23:B24)</f>
        <v>200</v>
      </c>
      <c r="C22" s="35">
        <f>SUM(C23:C24)</f>
        <v>200</v>
      </c>
      <c r="D22" s="35">
        <f>SUM(D23:D24)</f>
        <v>0</v>
      </c>
      <c r="E22" s="1110">
        <f t="shared" si="0"/>
        <v>0</v>
      </c>
    </row>
    <row r="23" spans="1:5" s="10" customFormat="1" ht="12.75">
      <c r="A23" s="150" t="s">
        <v>448</v>
      </c>
      <c r="B23" s="7">
        <f>5m!B15</f>
        <v>100</v>
      </c>
      <c r="C23" s="7">
        <f>B23</f>
        <v>100</v>
      </c>
      <c r="D23" s="7">
        <v>0</v>
      </c>
      <c r="E23" s="1110">
        <f t="shared" si="0"/>
        <v>0</v>
      </c>
    </row>
    <row r="24" spans="1:5" s="10" customFormat="1" ht="12.75">
      <c r="A24" s="150" t="s">
        <v>1123</v>
      </c>
      <c r="B24" s="7">
        <f>5m!B19</f>
        <v>100</v>
      </c>
      <c r="C24" s="7">
        <f>B24</f>
        <v>100</v>
      </c>
      <c r="D24" s="15">
        <v>0</v>
      </c>
      <c r="E24" s="1110">
        <f t="shared" si="0"/>
        <v>0</v>
      </c>
    </row>
    <row r="25" spans="1:5" s="10" customFormat="1" ht="15.75">
      <c r="A25" s="153" t="s">
        <v>961</v>
      </c>
      <c r="B25" s="155">
        <f>+B9+B19+B20+B22</f>
        <v>1150945.7079399999</v>
      </c>
      <c r="C25" s="155">
        <f>+C9+C19+C20+C22</f>
        <v>1160819.7079399999</v>
      </c>
      <c r="D25" s="155">
        <f>+D9+D19+D20+D22</f>
        <v>497869.89200000005</v>
      </c>
      <c r="E25" s="1196">
        <f t="shared" si="0"/>
        <v>0.4288951062723806</v>
      </c>
    </row>
    <row r="26" spans="1:3" s="10" customFormat="1" ht="12.75">
      <c r="A26" s="668"/>
      <c r="B26" s="743"/>
      <c r="C26" s="1103"/>
    </row>
    <row r="27" spans="1:3" s="10" customFormat="1" ht="12.75">
      <c r="A27" s="668"/>
      <c r="B27" s="743"/>
      <c r="C27" s="1104"/>
    </row>
    <row r="28" spans="1:5" ht="12.75">
      <c r="A28" s="12" t="s">
        <v>1280</v>
      </c>
      <c r="B28" s="49">
        <f>+1bm!B22</f>
        <v>79401</v>
      </c>
      <c r="C28" s="49">
        <f>+1bm!C22</f>
        <v>84887</v>
      </c>
      <c r="D28" s="49">
        <f>+1bm!D22</f>
        <v>44922.91500000001</v>
      </c>
      <c r="E28" s="1110">
        <f>D28/C28</f>
        <v>0.5292084182501444</v>
      </c>
    </row>
    <row r="29" spans="1:5" ht="12.75">
      <c r="A29" s="12" t="s">
        <v>443</v>
      </c>
      <c r="B29" s="49">
        <f>+B30+B31+B32+B35</f>
        <v>124600</v>
      </c>
      <c r="C29" s="49">
        <f>+C30+C31+C32+C35</f>
        <v>124600</v>
      </c>
      <c r="D29" s="49">
        <f>+D30+D31+D32+D35</f>
        <v>80756.853</v>
      </c>
      <c r="E29" s="1110">
        <f aca="true" t="shared" si="1" ref="E29:E54">D29/C29</f>
        <v>0.6481288362760835</v>
      </c>
    </row>
    <row r="30" spans="1:5" ht="12.75">
      <c r="A30" s="272" t="s">
        <v>1281</v>
      </c>
      <c r="B30" s="18">
        <v>0</v>
      </c>
      <c r="C30" s="18">
        <v>0</v>
      </c>
      <c r="D30" s="18">
        <f>1am!H24</f>
        <v>215.143</v>
      </c>
      <c r="E30" s="1110">
        <v>0</v>
      </c>
    </row>
    <row r="31" spans="1:5" ht="12.75">
      <c r="A31" s="272" t="s">
        <v>1282</v>
      </c>
      <c r="B31" s="40">
        <f>1am!F25</f>
        <v>102000</v>
      </c>
      <c r="C31" s="40">
        <f>1am!G25</f>
        <v>102000</v>
      </c>
      <c r="D31" s="40">
        <f>1am!H25</f>
        <v>60495.948</v>
      </c>
      <c r="E31" s="1110">
        <f t="shared" si="1"/>
        <v>0.5930975294117646</v>
      </c>
    </row>
    <row r="32" spans="1:5" ht="12.75">
      <c r="A32" s="272" t="s">
        <v>1283</v>
      </c>
      <c r="B32" s="40">
        <f>+B33+B34</f>
        <v>12900</v>
      </c>
      <c r="C32" s="40">
        <f>+C33+C34</f>
        <v>12900</v>
      </c>
      <c r="D32" s="40">
        <f>+D33+D34</f>
        <v>6944.268</v>
      </c>
      <c r="E32" s="1110">
        <f t="shared" si="1"/>
        <v>0.5383153488372093</v>
      </c>
    </row>
    <row r="33" spans="1:7" s="740" customFormat="1" ht="12.75">
      <c r="A33" s="744" t="s">
        <v>1447</v>
      </c>
      <c r="B33" s="745">
        <f>1am!F26</f>
        <v>100</v>
      </c>
      <c r="C33" s="745">
        <f>1am!G26</f>
        <v>100</v>
      </c>
      <c r="D33" s="745">
        <f>1am!H26</f>
        <v>417.478</v>
      </c>
      <c r="E33" s="1110">
        <f t="shared" si="1"/>
        <v>4.17478</v>
      </c>
      <c r="F33" s="23"/>
      <c r="G33" s="23"/>
    </row>
    <row r="34" spans="1:5" ht="12.75">
      <c r="A34" s="741" t="s">
        <v>1284</v>
      </c>
      <c r="B34" s="40">
        <f>1am!F27</f>
        <v>12800</v>
      </c>
      <c r="C34" s="40">
        <f>1am!G27</f>
        <v>12800</v>
      </c>
      <c r="D34" s="40">
        <f>1am!H27</f>
        <v>6526.79</v>
      </c>
      <c r="E34" s="1110">
        <f t="shared" si="1"/>
        <v>0.50990546875</v>
      </c>
    </row>
    <row r="35" spans="1:5" ht="12.75">
      <c r="A35" s="318" t="s">
        <v>1285</v>
      </c>
      <c r="B35" s="40">
        <f>+B36+B37+B38</f>
        <v>9700</v>
      </c>
      <c r="C35" s="40">
        <f>+C36+C37+C38</f>
        <v>9700</v>
      </c>
      <c r="D35" s="40">
        <f>+D36+D37+D38</f>
        <v>13101.493999999999</v>
      </c>
      <c r="E35" s="1110">
        <f t="shared" si="1"/>
        <v>1.3506694845360823</v>
      </c>
    </row>
    <row r="36" spans="1:5" ht="12.75">
      <c r="A36" s="741" t="s">
        <v>1286</v>
      </c>
      <c r="B36" s="40">
        <f>1am!F19</f>
        <v>0</v>
      </c>
      <c r="C36" s="40">
        <f>1am!G19</f>
        <v>0</v>
      </c>
      <c r="D36" s="40">
        <f>1am!H19</f>
        <v>0</v>
      </c>
      <c r="E36" s="1110">
        <v>0</v>
      </c>
    </row>
    <row r="37" spans="1:5" ht="12.75">
      <c r="A37" s="741" t="s">
        <v>1287</v>
      </c>
      <c r="B37" s="40">
        <f>1am!F28</f>
        <v>700</v>
      </c>
      <c r="C37" s="40">
        <f>1am!G28</f>
        <v>700</v>
      </c>
      <c r="D37" s="40">
        <f>1am!H28</f>
        <v>1269.212</v>
      </c>
      <c r="E37" s="1110">
        <f t="shared" si="1"/>
        <v>1.8131599999999999</v>
      </c>
    </row>
    <row r="38" spans="1:5" ht="12.75">
      <c r="A38" s="741" t="s">
        <v>1288</v>
      </c>
      <c r="B38" s="40">
        <f>1am!F30</f>
        <v>9000</v>
      </c>
      <c r="C38" s="40">
        <f>1am!G30</f>
        <v>9000</v>
      </c>
      <c r="D38" s="40">
        <f>1am!H30</f>
        <v>11832.282</v>
      </c>
      <c r="E38" s="1110">
        <f t="shared" si="1"/>
        <v>1.314698</v>
      </c>
    </row>
    <row r="39" spans="1:5" ht="12.75">
      <c r="A39" s="46" t="s">
        <v>527</v>
      </c>
      <c r="B39" s="49">
        <f>SUM(B40:B45)</f>
        <v>651100.493564</v>
      </c>
      <c r="C39" s="49">
        <f>SUM(C40:C45)</f>
        <v>655488.493564</v>
      </c>
      <c r="D39" s="49">
        <f>SUM(D40:D45)</f>
        <v>389961.648</v>
      </c>
      <c r="E39" s="1110">
        <f t="shared" si="1"/>
        <v>0.5949176100402825</v>
      </c>
    </row>
    <row r="40" spans="1:5" ht="12.75">
      <c r="A40" s="272" t="s">
        <v>445</v>
      </c>
      <c r="B40" s="18">
        <f>1am!J31+1am!J32+1am!J33+1am!J34</f>
        <v>410766</v>
      </c>
      <c r="C40" s="18">
        <f>1am!K31+1am!K32+1am!K33+1am!K34</f>
        <v>410766</v>
      </c>
      <c r="D40" s="18">
        <f>1am!L31+1am!L32+1am!L33+1am!L34</f>
        <v>212405.763</v>
      </c>
      <c r="E40" s="1110">
        <f t="shared" si="1"/>
        <v>0.5170967485137524</v>
      </c>
    </row>
    <row r="41" spans="1:5" ht="12.75">
      <c r="A41" s="272" t="s">
        <v>1289</v>
      </c>
      <c r="B41" s="18">
        <v>0</v>
      </c>
      <c r="C41" s="18">
        <v>0</v>
      </c>
      <c r="D41" s="18">
        <f>1am!L35</f>
        <v>15816.335</v>
      </c>
      <c r="E41" s="1110">
        <v>0</v>
      </c>
    </row>
    <row r="42" spans="1:5" ht="12.75">
      <c r="A42" s="272" t="s">
        <v>1290</v>
      </c>
      <c r="B42" s="18">
        <v>0</v>
      </c>
      <c r="C42" s="18">
        <v>0</v>
      </c>
      <c r="D42" s="18">
        <v>0</v>
      </c>
      <c r="E42" s="1110">
        <v>0</v>
      </c>
    </row>
    <row r="43" spans="1:5" ht="25.5">
      <c r="A43" s="742" t="s">
        <v>1291</v>
      </c>
      <c r="B43" s="620">
        <v>0</v>
      </c>
      <c r="C43" s="620">
        <v>0</v>
      </c>
      <c r="D43" s="620">
        <v>0</v>
      </c>
      <c r="E43" s="1110">
        <v>0</v>
      </c>
    </row>
    <row r="44" spans="1:5" ht="13.5" customHeight="1">
      <c r="A44" s="1065" t="s">
        <v>1444</v>
      </c>
      <c r="B44" s="18">
        <f>1am!J38</f>
        <v>107534.49356400002</v>
      </c>
      <c r="C44" s="18">
        <f>1am!K38</f>
        <v>107534.49356400002</v>
      </c>
      <c r="D44" s="18">
        <f>1am!L38</f>
        <v>161739.55</v>
      </c>
      <c r="E44" s="1110">
        <f t="shared" si="1"/>
        <v>1.5040713415713387</v>
      </c>
    </row>
    <row r="45" spans="1:5" ht="27" customHeight="1">
      <c r="A45" s="693" t="s">
        <v>1314</v>
      </c>
      <c r="B45" s="18">
        <f>1am!J37</f>
        <v>132800</v>
      </c>
      <c r="C45" s="18">
        <f>1am!K37</f>
        <v>137188</v>
      </c>
      <c r="D45" s="18">
        <f>1am!L37</f>
        <v>0</v>
      </c>
      <c r="E45" s="1110">
        <f t="shared" si="1"/>
        <v>0</v>
      </c>
    </row>
    <row r="46" spans="1:5" ht="12.75">
      <c r="A46" s="46" t="s">
        <v>511</v>
      </c>
      <c r="B46" s="49">
        <f>SUM(B47:B50)</f>
        <v>234588</v>
      </c>
      <c r="C46" s="49">
        <f>SUM(C47:C50)</f>
        <v>234588</v>
      </c>
      <c r="D46" s="49">
        <f>SUM(D47:D50)</f>
        <v>111468.86</v>
      </c>
      <c r="E46" s="1110">
        <f t="shared" si="1"/>
        <v>0.47516863607686666</v>
      </c>
    </row>
    <row r="47" spans="1:5" ht="12.75">
      <c r="A47" s="1065" t="s">
        <v>512</v>
      </c>
      <c r="B47" s="549">
        <f>1bm!N22</f>
        <v>232599</v>
      </c>
      <c r="C47" s="549">
        <f>1bm!O22</f>
        <v>232599</v>
      </c>
      <c r="D47" s="549">
        <f>1bm!P22</f>
        <v>109168.86</v>
      </c>
      <c r="E47" s="1110">
        <f t="shared" si="1"/>
        <v>0.4693436343234494</v>
      </c>
    </row>
    <row r="48" spans="1:5" ht="12.75">
      <c r="A48" s="272" t="s">
        <v>513</v>
      </c>
      <c r="B48" s="18">
        <f>1am!R55</f>
        <v>1989</v>
      </c>
      <c r="C48" s="18">
        <f>1am!S55</f>
        <v>1989</v>
      </c>
      <c r="D48" s="18">
        <f>1am!T55</f>
        <v>2300</v>
      </c>
      <c r="E48" s="1110">
        <f t="shared" si="1"/>
        <v>1.1563599798893918</v>
      </c>
    </row>
    <row r="49" spans="1:5" ht="12.75">
      <c r="A49" s="742" t="s">
        <v>514</v>
      </c>
      <c r="B49" s="18">
        <v>0</v>
      </c>
      <c r="C49" s="18">
        <v>0</v>
      </c>
      <c r="D49" s="18">
        <v>0</v>
      </c>
      <c r="E49" s="1110">
        <v>0</v>
      </c>
    </row>
    <row r="50" spans="1:5" ht="12.75">
      <c r="A50" s="742" t="s">
        <v>515</v>
      </c>
      <c r="B50" s="18">
        <v>0</v>
      </c>
      <c r="C50" s="18">
        <v>0</v>
      </c>
      <c r="D50" s="18">
        <v>0</v>
      </c>
      <c r="E50" s="1110">
        <v>0</v>
      </c>
    </row>
    <row r="51" spans="1:5" ht="12.75">
      <c r="A51" s="12" t="s">
        <v>488</v>
      </c>
      <c r="B51" s="49">
        <f>B52+B53</f>
        <v>61257</v>
      </c>
      <c r="C51" s="49">
        <f>C52+C53</f>
        <v>61257</v>
      </c>
      <c r="D51" s="49">
        <f>D52+D53</f>
        <v>0</v>
      </c>
      <c r="E51" s="1110">
        <f t="shared" si="1"/>
        <v>0</v>
      </c>
    </row>
    <row r="52" spans="1:5" ht="25.5">
      <c r="A52" s="705" t="s">
        <v>489</v>
      </c>
      <c r="B52" s="18">
        <f>pénzmaradvány!B6+pénzmaradvány!B4+pénzmaradvány!B5+pénzmaradvány!B9</f>
        <v>61257</v>
      </c>
      <c r="C52" s="18">
        <f>B52</f>
        <v>61257</v>
      </c>
      <c r="D52" s="18">
        <v>0</v>
      </c>
      <c r="E52" s="1110">
        <f t="shared" si="1"/>
        <v>0</v>
      </c>
    </row>
    <row r="53" spans="1:5" ht="0.75" customHeight="1">
      <c r="A53" s="705" t="s">
        <v>490</v>
      </c>
      <c r="B53" s="18"/>
      <c r="C53" s="1064"/>
      <c r="E53" s="1110" t="e">
        <f t="shared" si="1"/>
        <v>#DIV/0!</v>
      </c>
    </row>
    <row r="54" spans="1:5" ht="21" customHeight="1">
      <c r="A54" s="153" t="s">
        <v>962</v>
      </c>
      <c r="B54" s="155">
        <f>+B28+B29+B39+B46+B51</f>
        <v>1150946.493564</v>
      </c>
      <c r="C54" s="155">
        <f>+C28+C29+C39+C46+C51</f>
        <v>1160820.493564</v>
      </c>
      <c r="D54" s="155">
        <f>+D28+D29+D39+D46+D51</f>
        <v>627110.276</v>
      </c>
      <c r="E54" s="1196">
        <f t="shared" si="1"/>
        <v>0.5402301901774835</v>
      </c>
    </row>
    <row r="55" spans="1:3" ht="12.75">
      <c r="A55" s="1198"/>
      <c r="B55" s="1198"/>
      <c r="C55" s="1198"/>
    </row>
    <row r="56" ht="12.75">
      <c r="C56" s="509">
        <f>SUM(C57:C63)</f>
        <v>0</v>
      </c>
    </row>
    <row r="57" ht="12.75">
      <c r="C57" s="43"/>
    </row>
    <row r="58" spans="3:5" ht="12.75">
      <c r="C58" s="43"/>
      <c r="D58" s="8"/>
      <c r="E58" s="8"/>
    </row>
    <row r="59" ht="12.75">
      <c r="C59" s="43"/>
    </row>
    <row r="60" ht="12.75">
      <c r="C60" s="43"/>
    </row>
    <row r="61" ht="12.75">
      <c r="C61" s="43"/>
    </row>
    <row r="62" spans="3:5" ht="12.75">
      <c r="C62" s="43"/>
      <c r="D62" s="8"/>
      <c r="E62" s="8"/>
    </row>
    <row r="63" spans="3:5" ht="12.75">
      <c r="C63" s="7"/>
      <c r="E63" s="8"/>
    </row>
    <row r="64" ht="12.75">
      <c r="C64" s="35">
        <f>SUM(C65:C66)</f>
        <v>0</v>
      </c>
    </row>
    <row r="65" ht="12.75">
      <c r="C65" s="7"/>
    </row>
    <row r="66" spans="3:4" ht="12.75">
      <c r="C66" s="7"/>
      <c r="D66" s="334"/>
    </row>
    <row r="67" spans="3:5" ht="15.75">
      <c r="C67" s="155">
        <f>+C64+C56</f>
        <v>0</v>
      </c>
      <c r="D67" s="8"/>
      <c r="E67" s="8"/>
    </row>
  </sheetData>
  <sheetProtection/>
  <mergeCells count="3">
    <mergeCell ref="A55:C55"/>
    <mergeCell ref="A5:C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  <rowBreaks count="1" manualBreakCount="1">
    <brk id="54" max="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E47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1380" t="s">
        <v>174</v>
      </c>
      <c r="C1" s="1381"/>
      <c r="D1" s="1381"/>
    </row>
    <row r="2" spans="2:4" ht="21.75" customHeight="1">
      <c r="B2" s="1401" t="s">
        <v>456</v>
      </c>
      <c r="C2" s="1401"/>
      <c r="D2" s="1401"/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/>
      <c r="B5" s="1217"/>
      <c r="C5" s="1217"/>
      <c r="D5" s="1217"/>
      <c r="E5" s="1217"/>
    </row>
    <row r="6" spans="1:5" ht="12.75">
      <c r="A6" s="1217"/>
      <c r="B6" s="1217"/>
      <c r="C6" s="1217"/>
      <c r="D6" s="1217"/>
      <c r="E6" s="1217"/>
    </row>
    <row r="7" spans="1:5" ht="12.75">
      <c r="A7" s="1217"/>
      <c r="B7" s="1217"/>
      <c r="C7" s="1217"/>
      <c r="D7" s="1217"/>
      <c r="E7" s="1217"/>
    </row>
    <row r="8" spans="1:5" ht="12.75">
      <c r="A8" s="41"/>
      <c r="C8" s="8"/>
      <c r="D8" s="283"/>
      <c r="E8" s="283"/>
    </row>
    <row r="9" spans="1:5" ht="12.75">
      <c r="A9" s="41"/>
      <c r="C9" s="8"/>
      <c r="D9" s="8"/>
      <c r="E9" s="8"/>
    </row>
    <row r="10" spans="1:5" ht="12.75">
      <c r="A10" s="25"/>
      <c r="B10" s="13"/>
      <c r="C10" s="33"/>
      <c r="D10" s="25"/>
      <c r="E10" s="25"/>
    </row>
    <row r="11" spans="1:5" ht="12.75">
      <c r="A11" s="65"/>
      <c r="B11" s="270"/>
      <c r="C11" s="271"/>
      <c r="D11" s="271"/>
      <c r="E11" s="56"/>
    </row>
    <row r="12" spans="1:5" ht="15.75">
      <c r="A12" s="1383"/>
      <c r="B12" s="1383"/>
      <c r="C12" s="1383"/>
      <c r="D12" s="1383"/>
      <c r="E12" s="442"/>
    </row>
    <row r="13" spans="1:5" ht="15.75">
      <c r="A13" s="92"/>
      <c r="B13" s="37"/>
      <c r="C13" s="6"/>
      <c r="D13" s="43"/>
      <c r="E13" s="35"/>
    </row>
    <row r="14" spans="1:5" ht="15.75">
      <c r="A14" s="1383" t="s">
        <v>981</v>
      </c>
      <c r="B14" s="1383"/>
      <c r="C14" s="1383"/>
      <c r="D14" s="1383"/>
      <c r="E14" s="442">
        <f>+E13</f>
        <v>0</v>
      </c>
    </row>
    <row r="15" spans="1:5" ht="12.75">
      <c r="A15" s="1003">
        <v>5491</v>
      </c>
      <c r="B15" s="263" t="s">
        <v>985</v>
      </c>
      <c r="C15" s="1003"/>
      <c r="D15" s="1003"/>
      <c r="E15" s="549"/>
    </row>
    <row r="16" spans="1:5" ht="12.75">
      <c r="A16" s="1003"/>
      <c r="B16" s="998" t="s">
        <v>768</v>
      </c>
      <c r="C16" s="1003"/>
      <c r="D16" s="1003"/>
      <c r="E16" s="87">
        <v>136</v>
      </c>
    </row>
    <row r="17" spans="1:5" ht="12.75">
      <c r="A17" s="14">
        <v>55214</v>
      </c>
      <c r="B17" s="491" t="s">
        <v>989</v>
      </c>
      <c r="C17" s="263"/>
      <c r="D17" s="263"/>
      <c r="E17" s="49">
        <v>396</v>
      </c>
    </row>
    <row r="18" spans="1:5" ht="12.75">
      <c r="A18" s="14">
        <v>55215</v>
      </c>
      <c r="B18" s="491" t="s">
        <v>990</v>
      </c>
      <c r="C18" s="263"/>
      <c r="D18" s="263"/>
      <c r="E18" s="49">
        <v>650</v>
      </c>
    </row>
    <row r="19" spans="1:5" ht="12.75">
      <c r="A19" s="14">
        <v>55217</v>
      </c>
      <c r="B19" s="491" t="s">
        <v>991</v>
      </c>
      <c r="C19" s="263"/>
      <c r="D19" s="263"/>
      <c r="E19" s="49">
        <v>629</v>
      </c>
    </row>
    <row r="20" spans="1:5" ht="12.75">
      <c r="A20" s="14">
        <v>55218</v>
      </c>
      <c r="B20" s="491" t="s">
        <v>1173</v>
      </c>
      <c r="C20" s="263"/>
      <c r="D20" s="263"/>
      <c r="E20" s="49">
        <f>E21+E22</f>
        <v>1730</v>
      </c>
    </row>
    <row r="21" spans="1:5" ht="12.75">
      <c r="A21" s="14"/>
      <c r="B21" s="998" t="s">
        <v>772</v>
      </c>
      <c r="C21" s="263"/>
      <c r="D21" s="263"/>
      <c r="E21" s="18">
        <v>1600</v>
      </c>
    </row>
    <row r="22" spans="1:5" ht="12.75">
      <c r="A22" s="14"/>
      <c r="B22" s="998" t="s">
        <v>773</v>
      </c>
      <c r="C22" s="263"/>
      <c r="D22" s="263"/>
      <c r="E22" s="18">
        <v>130</v>
      </c>
    </row>
    <row r="23" spans="1:5" ht="12.75">
      <c r="A23" s="14">
        <v>55219</v>
      </c>
      <c r="B23" s="491" t="s">
        <v>758</v>
      </c>
      <c r="C23" s="263"/>
      <c r="D23" s="263"/>
      <c r="E23" s="49">
        <f>E24+E25+E26+E27+E28+E29</f>
        <v>891</v>
      </c>
    </row>
    <row r="24" spans="1:5" ht="12.75">
      <c r="A24" s="14"/>
      <c r="B24" s="998" t="s">
        <v>771</v>
      </c>
      <c r="C24" s="1001"/>
      <c r="D24" s="1001"/>
      <c r="E24" s="1002">
        <v>190</v>
      </c>
    </row>
    <row r="25" spans="1:5" ht="12.75">
      <c r="A25" s="14"/>
      <c r="B25" s="998" t="s">
        <v>760</v>
      </c>
      <c r="C25" s="613"/>
      <c r="D25" s="610"/>
      <c r="E25" s="611">
        <v>3</v>
      </c>
    </row>
    <row r="26" spans="1:5" ht="12.75">
      <c r="A26" s="14"/>
      <c r="B26" s="998" t="s">
        <v>761</v>
      </c>
      <c r="C26" s="612"/>
      <c r="D26" s="610"/>
      <c r="E26" s="611">
        <v>121</v>
      </c>
    </row>
    <row r="27" spans="1:5" ht="12.75">
      <c r="A27" s="14"/>
      <c r="B27" s="998" t="s">
        <v>769</v>
      </c>
      <c r="C27" s="612"/>
      <c r="D27" s="610"/>
      <c r="E27" s="611">
        <v>37</v>
      </c>
    </row>
    <row r="28" spans="1:5" ht="12.75">
      <c r="A28" s="612"/>
      <c r="B28" s="610" t="s">
        <v>906</v>
      </c>
      <c r="C28" s="613">
        <v>426486</v>
      </c>
      <c r="D28" s="1005" t="s">
        <v>775</v>
      </c>
      <c r="E28" s="611"/>
    </row>
    <row r="29" spans="1:5" ht="12.75">
      <c r="A29" s="612"/>
      <c r="B29" s="610" t="s">
        <v>766</v>
      </c>
      <c r="C29" s="613"/>
      <c r="D29" s="610"/>
      <c r="E29" s="611">
        <v>540</v>
      </c>
    </row>
    <row r="30" spans="1:5" ht="12.75">
      <c r="A30" s="612"/>
      <c r="B30" s="998"/>
      <c r="C30" s="613"/>
      <c r="D30" s="610"/>
      <c r="E30" s="611"/>
    </row>
    <row r="31" spans="1:5" ht="12.75">
      <c r="A31" s="461">
        <v>5611</v>
      </c>
      <c r="B31" s="491" t="s">
        <v>139</v>
      </c>
      <c r="C31" s="566"/>
      <c r="D31" s="447"/>
      <c r="E31" s="611">
        <f>(E16+E17+E18+E19+E20+E23+E32+E34)*0.27</f>
        <v>1595.97</v>
      </c>
    </row>
    <row r="32" spans="1:5" ht="12.75">
      <c r="A32" s="461">
        <v>5631</v>
      </c>
      <c r="B32" s="491" t="s">
        <v>391</v>
      </c>
      <c r="C32" s="566"/>
      <c r="D32" s="447"/>
      <c r="E32" s="1004">
        <f>E33</f>
        <v>1219</v>
      </c>
    </row>
    <row r="33" spans="1:5" ht="12.75">
      <c r="A33" s="461"/>
      <c r="B33" s="491" t="s">
        <v>770</v>
      </c>
      <c r="C33" s="566">
        <f>101600*12</f>
        <v>1219200</v>
      </c>
      <c r="D33" s="447"/>
      <c r="E33" s="611">
        <f>+ROUND(C33,-3)/1000</f>
        <v>1219</v>
      </c>
    </row>
    <row r="34" spans="1:5" ht="12.75">
      <c r="A34" s="328">
        <v>57219</v>
      </c>
      <c r="B34" s="328" t="s">
        <v>89</v>
      </c>
      <c r="C34" s="53"/>
      <c r="D34" s="447"/>
      <c r="E34" s="1004">
        <f>E35+E36</f>
        <v>260</v>
      </c>
    </row>
    <row r="35" spans="1:5" ht="12.75">
      <c r="A35" s="328"/>
      <c r="B35" s="328" t="s">
        <v>767</v>
      </c>
      <c r="C35" s="53"/>
      <c r="D35" s="447"/>
      <c r="E35" s="611">
        <v>160</v>
      </c>
    </row>
    <row r="36" spans="1:5" ht="12.75">
      <c r="A36" s="328"/>
      <c r="B36" s="328" t="s">
        <v>774</v>
      </c>
      <c r="C36" s="53"/>
      <c r="D36" s="447"/>
      <c r="E36" s="611">
        <v>100</v>
      </c>
    </row>
    <row r="37" spans="1:5" ht="15.75">
      <c r="A37" s="1383" t="s">
        <v>162</v>
      </c>
      <c r="B37" s="1383"/>
      <c r="C37" s="1383"/>
      <c r="D37" s="1383"/>
      <c r="E37" s="561">
        <f>E16+E17+E18+E19+E20+E23+E31+E32+E34</f>
        <v>7506.97</v>
      </c>
    </row>
    <row r="38" spans="1:5" ht="15.75">
      <c r="A38" s="1383"/>
      <c r="B38" s="1383"/>
      <c r="C38" s="1383"/>
      <c r="D38" s="1383"/>
      <c r="E38" s="561"/>
    </row>
    <row r="39" spans="1:5" ht="12.75">
      <c r="A39" s="1217" t="s">
        <v>190</v>
      </c>
      <c r="B39" s="1217"/>
      <c r="C39" s="1217"/>
      <c r="D39" s="1217"/>
      <c r="E39" s="1217"/>
    </row>
    <row r="41" spans="1:5" ht="15.75">
      <c r="A41" s="1379" t="s">
        <v>158</v>
      </c>
      <c r="B41" s="1379"/>
      <c r="C41" s="1379"/>
      <c r="D41" s="1379"/>
      <c r="E41" s="76"/>
    </row>
    <row r="43" spans="1:5" ht="12.75">
      <c r="A43" s="1217" t="s">
        <v>1496</v>
      </c>
      <c r="B43" s="1217"/>
      <c r="C43" s="1217"/>
      <c r="D43" s="1217"/>
      <c r="E43" s="1217"/>
    </row>
    <row r="45" spans="1:5" ht="15.75">
      <c r="A45" s="1379" t="s">
        <v>1497</v>
      </c>
      <c r="B45" s="1379"/>
      <c r="C45" s="1379"/>
      <c r="D45" s="1379"/>
      <c r="E45" s="76"/>
    </row>
    <row r="47" spans="1:5" ht="15.75">
      <c r="A47" s="1376" t="s">
        <v>961</v>
      </c>
      <c r="B47" s="1376"/>
      <c r="C47" s="1376"/>
      <c r="D47" s="1376"/>
      <c r="E47" s="77">
        <f>+E45+E41+E37+E14+E12</f>
        <v>7506.97</v>
      </c>
    </row>
  </sheetData>
  <sheetProtection/>
  <mergeCells count="15">
    <mergeCell ref="A45:D45"/>
    <mergeCell ref="A47:D47"/>
    <mergeCell ref="A12:D12"/>
    <mergeCell ref="A14:D14"/>
    <mergeCell ref="A37:D37"/>
    <mergeCell ref="A39:E39"/>
    <mergeCell ref="A41:D41"/>
    <mergeCell ref="A43:E43"/>
    <mergeCell ref="A38:D38"/>
    <mergeCell ref="A7:E7"/>
    <mergeCell ref="B1:D1"/>
    <mergeCell ref="B2:D2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1403" t="s">
        <v>130</v>
      </c>
      <c r="B1" s="1403"/>
      <c r="C1" s="1403"/>
      <c r="D1" s="1403"/>
      <c r="E1" s="1403"/>
    </row>
    <row r="2" spans="1:5" ht="21.75" customHeight="1">
      <c r="A2" s="1402" t="s">
        <v>380</v>
      </c>
      <c r="B2" s="1402"/>
      <c r="C2" s="1402"/>
      <c r="D2" s="1402"/>
      <c r="E2" s="1402"/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3.5" thickBot="1">
      <c r="A6" s="469"/>
      <c r="B6" s="469"/>
      <c r="C6" s="452"/>
      <c r="D6" s="452"/>
      <c r="E6" s="452"/>
    </row>
    <row r="7" spans="1:5" ht="16.5" thickBot="1">
      <c r="A7" s="1365" t="s">
        <v>1484</v>
      </c>
      <c r="B7" s="1366"/>
      <c r="C7" s="1366"/>
      <c r="D7" s="1366"/>
      <c r="E7" s="443"/>
    </row>
    <row r="8" spans="1:5" ht="13.5" thickBot="1">
      <c r="A8" s="488"/>
      <c r="B8" s="488"/>
      <c r="C8" s="489"/>
      <c r="D8" s="489"/>
      <c r="E8" s="489"/>
    </row>
    <row r="9" spans="1:5" ht="16.5" thickBot="1">
      <c r="A9" s="1365" t="s">
        <v>981</v>
      </c>
      <c r="B9" s="1366"/>
      <c r="C9" s="1366"/>
      <c r="D9" s="1366"/>
      <c r="E9" s="443"/>
    </row>
    <row r="10" spans="1:6" ht="12.75">
      <c r="A10" s="14">
        <v>55215</v>
      </c>
      <c r="B10" s="491" t="s">
        <v>990</v>
      </c>
      <c r="C10" s="15">
        <f>SUM(C11:C14)</f>
        <v>10657937.007874016</v>
      </c>
      <c r="D10" s="15"/>
      <c r="E10" s="15">
        <f>SUM(E11:E15)</f>
        <v>13466</v>
      </c>
      <c r="F10" s="8"/>
    </row>
    <row r="11" spans="1:5" ht="12.75">
      <c r="A11" s="14"/>
      <c r="B11" s="491" t="s">
        <v>1366</v>
      </c>
      <c r="C11" s="15">
        <f>481000*12*1.042/1.27</f>
        <v>4735766.9291338585</v>
      </c>
      <c r="D11" s="15"/>
      <c r="E11" s="15">
        <v>5276</v>
      </c>
    </row>
    <row r="12" spans="1:5" ht="12.75">
      <c r="A12" s="14"/>
      <c r="B12" s="491" t="s">
        <v>776</v>
      </c>
      <c r="C12" s="15">
        <f>(489000*12+1350000)*1.042/1.27</f>
        <v>5922170.078740157</v>
      </c>
      <c r="D12" s="15"/>
      <c r="E12" s="15">
        <v>4725</v>
      </c>
    </row>
    <row r="13" spans="1:5" ht="12.75">
      <c r="A13" s="14"/>
      <c r="B13" s="491" t="s">
        <v>100</v>
      </c>
      <c r="C13" s="15"/>
      <c r="D13" s="15"/>
      <c r="E13" s="15">
        <v>945</v>
      </c>
    </row>
    <row r="14" spans="1:5" ht="12.75">
      <c r="A14" s="14"/>
      <c r="B14" s="491" t="s">
        <v>339</v>
      </c>
      <c r="C14" s="15"/>
      <c r="D14" s="15"/>
      <c r="E14" s="15">
        <v>2520</v>
      </c>
    </row>
    <row r="15" spans="1:5" ht="12.75">
      <c r="A15" s="14"/>
      <c r="B15" s="491"/>
      <c r="C15" s="15"/>
      <c r="D15" s="15"/>
      <c r="E15" s="15"/>
    </row>
    <row r="16" spans="1:5" ht="12.75">
      <c r="A16" s="495" t="s">
        <v>986</v>
      </c>
      <c r="B16" s="458"/>
      <c r="C16" s="458"/>
      <c r="D16" s="458"/>
      <c r="E16" s="458"/>
    </row>
    <row r="17" spans="1:6" ht="12.75">
      <c r="A17" s="461">
        <v>56111</v>
      </c>
      <c r="B17" s="492" t="s">
        <v>994</v>
      </c>
      <c r="C17" s="493"/>
      <c r="D17" s="15"/>
      <c r="E17" s="15">
        <f>E10*0.27</f>
        <v>3635.82</v>
      </c>
      <c r="F17" s="8"/>
    </row>
    <row r="18" spans="1:5" ht="13.5" thickBot="1">
      <c r="A18" s="496" t="s">
        <v>993</v>
      </c>
      <c r="B18" s="494"/>
      <c r="C18" s="494"/>
      <c r="D18" s="494"/>
      <c r="E18" s="494"/>
    </row>
    <row r="19" spans="1:5" ht="16.5" thickBot="1">
      <c r="A19" s="1365" t="s">
        <v>162</v>
      </c>
      <c r="B19" s="1366"/>
      <c r="C19" s="1366"/>
      <c r="D19" s="1366"/>
      <c r="E19" s="454">
        <f>E10+E17</f>
        <v>17101.82</v>
      </c>
    </row>
    <row r="20" spans="1:5" ht="15.75">
      <c r="A20" s="78"/>
      <c r="B20" s="78"/>
      <c r="C20" s="78"/>
      <c r="D20" s="78"/>
      <c r="E20" s="79"/>
    </row>
    <row r="21" spans="1:5" ht="12.75">
      <c r="A21" s="1217" t="s">
        <v>190</v>
      </c>
      <c r="B21" s="1217"/>
      <c r="C21" s="1217"/>
      <c r="D21" s="1217"/>
      <c r="E21" s="1217"/>
    </row>
    <row r="23" spans="1:5" ht="15.75">
      <c r="A23" s="1379" t="s">
        <v>158</v>
      </c>
      <c r="B23" s="1379"/>
      <c r="C23" s="1379"/>
      <c r="D23" s="1379"/>
      <c r="E23" s="76"/>
    </row>
    <row r="25" spans="1:5" ht="12.75">
      <c r="A25" s="1217" t="s">
        <v>1496</v>
      </c>
      <c r="B25" s="1217"/>
      <c r="C25" s="1217"/>
      <c r="D25" s="1217"/>
      <c r="E25" s="1217"/>
    </row>
    <row r="27" spans="1:5" ht="15.75">
      <c r="A27" s="1379" t="s">
        <v>1497</v>
      </c>
      <c r="B27" s="1379"/>
      <c r="C27" s="1379"/>
      <c r="D27" s="1379"/>
      <c r="E27" s="76"/>
    </row>
    <row r="29" spans="1:5" ht="15.75">
      <c r="A29" s="1376" t="s">
        <v>961</v>
      </c>
      <c r="B29" s="1376"/>
      <c r="C29" s="1376"/>
      <c r="D29" s="1376"/>
      <c r="E29" s="77">
        <f>+E27+E23+E19+E9+E7</f>
        <v>17101.82</v>
      </c>
    </row>
  </sheetData>
  <sheetProtection/>
  <mergeCells count="12">
    <mergeCell ref="A2:E2"/>
    <mergeCell ref="A1:E1"/>
    <mergeCell ref="A7:D7"/>
    <mergeCell ref="A9:D9"/>
    <mergeCell ref="A4:E4"/>
    <mergeCell ref="A5:E5"/>
    <mergeCell ref="A27:D27"/>
    <mergeCell ref="A29:D29"/>
    <mergeCell ref="A19:D19"/>
    <mergeCell ref="A21:E21"/>
    <mergeCell ref="A23:D23"/>
    <mergeCell ref="A25:E2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1"/>
      <c r="B1" s="91"/>
      <c r="C1" s="142" t="s">
        <v>130</v>
      </c>
      <c r="D1" s="91"/>
      <c r="E1" s="91"/>
    </row>
    <row r="2" spans="1:5" ht="30.75" customHeight="1">
      <c r="A2" s="345"/>
      <c r="B2" s="345"/>
      <c r="C2" s="346" t="s">
        <v>618</v>
      </c>
      <c r="D2" s="345"/>
      <c r="E2" s="91"/>
    </row>
    <row r="3" spans="1:5" ht="24.75" customHeight="1">
      <c r="A3" s="91"/>
      <c r="B3" s="91"/>
      <c r="C3" s="91"/>
      <c r="D3" s="91"/>
      <c r="E3" s="91"/>
    </row>
    <row r="4" spans="1:5" ht="15">
      <c r="A4" s="1386" t="s">
        <v>1152</v>
      </c>
      <c r="B4" s="1386"/>
      <c r="C4" s="1386"/>
      <c r="D4" s="1386"/>
      <c r="E4" s="1386"/>
    </row>
    <row r="5" spans="1:5" ht="15">
      <c r="A5" s="91" t="s">
        <v>1127</v>
      </c>
      <c r="B5" s="91" t="s">
        <v>1128</v>
      </c>
      <c r="C5" s="91" t="s">
        <v>1026</v>
      </c>
      <c r="D5" s="290" t="s">
        <v>1097</v>
      </c>
      <c r="E5" s="290" t="s">
        <v>922</v>
      </c>
    </row>
    <row r="6" spans="1:5" ht="19.5" customHeight="1">
      <c r="A6" s="857">
        <v>12546</v>
      </c>
      <c r="B6" s="857">
        <v>3700001</v>
      </c>
      <c r="C6" s="15" t="s">
        <v>621</v>
      </c>
      <c r="D6" s="15"/>
      <c r="E6" s="15">
        <f>E8/1.27</f>
        <v>384022.83464566927</v>
      </c>
    </row>
    <row r="7" spans="1:5" ht="19.5" customHeight="1">
      <c r="A7" s="15"/>
      <c r="B7" s="15"/>
      <c r="C7" s="15" t="s">
        <v>139</v>
      </c>
      <c r="D7" s="15"/>
      <c r="E7" s="15">
        <f>E6*0.27</f>
        <v>103686.1653543307</v>
      </c>
    </row>
    <row r="8" spans="1:5" ht="15.75">
      <c r="A8" s="1404" t="s">
        <v>619</v>
      </c>
      <c r="B8" s="1404"/>
      <c r="C8" s="1405"/>
      <c r="D8" s="1405"/>
      <c r="E8" s="444">
        <v>487709</v>
      </c>
    </row>
    <row r="9" spans="1:5" ht="15.75">
      <c r="A9" s="855"/>
      <c r="B9" s="855"/>
      <c r="C9" s="856"/>
      <c r="D9" s="856"/>
      <c r="E9" s="595"/>
    </row>
    <row r="10" spans="1:6" ht="12.75">
      <c r="A10" s="858"/>
      <c r="B10" s="858"/>
      <c r="C10" s="18" t="s">
        <v>621</v>
      </c>
      <c r="D10" s="18"/>
      <c r="E10" s="15">
        <f>318761-10</f>
        <v>318751</v>
      </c>
      <c r="F10" s="9">
        <v>0.83</v>
      </c>
    </row>
    <row r="11" spans="1:6" ht="12.75">
      <c r="A11" s="858"/>
      <c r="B11" s="858"/>
      <c r="C11" s="18" t="s">
        <v>622</v>
      </c>
      <c r="D11" s="18"/>
      <c r="E11" s="15">
        <v>35894</v>
      </c>
      <c r="F11" s="24">
        <v>0.0935</v>
      </c>
    </row>
    <row r="12" spans="1:7" ht="12.75">
      <c r="A12" s="18"/>
      <c r="B12" s="18"/>
      <c r="C12" s="18" t="s">
        <v>56</v>
      </c>
      <c r="D12" s="18"/>
      <c r="E12" s="18">
        <v>29378</v>
      </c>
      <c r="F12" s="24">
        <v>0.0765</v>
      </c>
      <c r="G12" s="207">
        <f>E12*0.06</f>
        <v>1762.6799999999998</v>
      </c>
    </row>
    <row r="13" spans="1:7" ht="12.75">
      <c r="A13" s="18"/>
      <c r="B13" s="18"/>
      <c r="C13" s="18" t="s">
        <v>57</v>
      </c>
      <c r="D13" s="18"/>
      <c r="E13" s="18">
        <f>E7</f>
        <v>103686.1653543307</v>
      </c>
      <c r="G13" s="207">
        <f>E13*0.06</f>
        <v>6221.169921259842</v>
      </c>
    </row>
    <row r="14" spans="1:7" ht="12.75">
      <c r="A14" s="18"/>
      <c r="B14" s="18"/>
      <c r="C14" s="18"/>
      <c r="D14" s="18"/>
      <c r="E14" s="18"/>
      <c r="G14" s="207">
        <f>SUM(G12:G13)</f>
        <v>7983.849921259842</v>
      </c>
    </row>
    <row r="15" spans="1:5" ht="15.75">
      <c r="A15" s="1406" t="s">
        <v>620</v>
      </c>
      <c r="B15" s="1407"/>
      <c r="C15" s="1407"/>
      <c r="D15" s="859"/>
      <c r="E15" s="444">
        <f>SUM(E10:E14)</f>
        <v>487709.1653543307</v>
      </c>
    </row>
    <row r="16" spans="1:5" ht="15">
      <c r="A16" s="91"/>
      <c r="B16" s="91"/>
      <c r="C16" s="91"/>
      <c r="D16" s="91"/>
      <c r="E16" s="91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1408" t="s">
        <v>375</v>
      </c>
      <c r="B2" s="1408"/>
      <c r="C2" s="1408"/>
    </row>
    <row r="4" spans="1:5" ht="15">
      <c r="A4" s="1386" t="s">
        <v>163</v>
      </c>
      <c r="B4" s="1386"/>
      <c r="C4" s="1386"/>
      <c r="D4" s="1386"/>
      <c r="E4" s="1386"/>
    </row>
    <row r="6" s="30" customFormat="1" ht="15.75"/>
    <row r="8" spans="1:5" ht="15.75">
      <c r="A8" s="1379" t="s">
        <v>365</v>
      </c>
      <c r="B8" s="1398"/>
      <c r="C8" s="1398"/>
      <c r="D8" s="1398"/>
      <c r="E8" s="108">
        <f>E6</f>
        <v>0</v>
      </c>
    </row>
    <row r="9" spans="1:5" s="30" customFormat="1" ht="15.75">
      <c r="A9" s="30">
        <v>5331</v>
      </c>
      <c r="B9" s="30" t="s">
        <v>1486</v>
      </c>
      <c r="E9" s="31">
        <f>E8*0.27</f>
        <v>0</v>
      </c>
    </row>
    <row r="10" spans="1:5" ht="15.75">
      <c r="A10" s="1379" t="s">
        <v>366</v>
      </c>
      <c r="B10" s="1398"/>
      <c r="C10" s="1398"/>
      <c r="D10" s="1398"/>
      <c r="E10" s="108">
        <f>E9</f>
        <v>0</v>
      </c>
    </row>
    <row r="13" spans="1:5" ht="15">
      <c r="A13" s="1387" t="s">
        <v>1487</v>
      </c>
      <c r="B13" s="1387"/>
      <c r="C13" s="1387"/>
      <c r="D13" s="1387"/>
      <c r="E13" s="1387"/>
    </row>
    <row r="14" spans="1:5" ht="15">
      <c r="A14" s="1387" t="s">
        <v>983</v>
      </c>
      <c r="B14" s="1387"/>
      <c r="C14" s="1387"/>
      <c r="D14" s="1387"/>
      <c r="E14" s="1387"/>
    </row>
    <row r="15" spans="1:7" ht="15">
      <c r="A15" s="101"/>
      <c r="B15" s="101"/>
      <c r="C15" s="102"/>
      <c r="D15" s="102"/>
      <c r="E15" s="102"/>
      <c r="G15" s="361"/>
    </row>
    <row r="16" spans="1:5" ht="15">
      <c r="A16" s="1387" t="s">
        <v>993</v>
      </c>
      <c r="B16" s="1387"/>
      <c r="C16" s="1387"/>
      <c r="D16" s="1387"/>
      <c r="E16" s="1387"/>
    </row>
    <row r="17" spans="3:5" ht="15">
      <c r="C17" s="98"/>
      <c r="D17" s="98"/>
      <c r="E17" s="98"/>
    </row>
    <row r="18" spans="1:5" ht="15.75">
      <c r="A18" s="105">
        <v>56112</v>
      </c>
      <c r="B18" s="286" t="s">
        <v>1208</v>
      </c>
      <c r="C18" s="106"/>
      <c r="D18" s="106"/>
      <c r="E18" s="107"/>
    </row>
    <row r="19" spans="3:5" ht="15">
      <c r="C19" s="98"/>
      <c r="D19" s="98"/>
      <c r="E19" s="98"/>
    </row>
    <row r="21" spans="1:5" ht="15.75">
      <c r="A21" s="1398" t="s">
        <v>162</v>
      </c>
      <c r="B21" s="1398"/>
      <c r="C21" s="1398"/>
      <c r="D21" s="1398"/>
      <c r="E21" s="108">
        <f>E18</f>
        <v>0</v>
      </c>
    </row>
    <row r="22" spans="1:10" ht="15.75">
      <c r="A22" s="1400" t="s">
        <v>961</v>
      </c>
      <c r="B22" s="1400"/>
      <c r="C22" s="1400"/>
      <c r="D22" s="1400"/>
      <c r="E22" s="110"/>
      <c r="J22" s="364"/>
    </row>
    <row r="24" spans="2:7" ht="15">
      <c r="B24" s="96" t="s">
        <v>164</v>
      </c>
      <c r="G24" s="363"/>
    </row>
    <row r="25" ht="15">
      <c r="B25" s="96" t="s">
        <v>1209</v>
      </c>
    </row>
    <row r="26" ht="15">
      <c r="F26" s="360"/>
    </row>
    <row r="27" spans="1:9" s="30" customFormat="1" ht="15.75">
      <c r="A27" s="30">
        <v>91913</v>
      </c>
      <c r="B27" s="30" t="s">
        <v>1210</v>
      </c>
      <c r="E27" s="799"/>
      <c r="I27" s="362"/>
    </row>
    <row r="29" spans="1:5" ht="15">
      <c r="A29" s="361" t="s">
        <v>1211</v>
      </c>
      <c r="B29" s="361"/>
      <c r="C29" s="361"/>
      <c r="D29" s="361"/>
      <c r="E29" s="800">
        <f>E27</f>
        <v>0</v>
      </c>
    </row>
    <row r="30" spans="1:9" ht="15.75">
      <c r="A30" s="1376" t="s">
        <v>1212</v>
      </c>
      <c r="B30" s="1400"/>
      <c r="C30" s="1400"/>
      <c r="D30" s="1400"/>
      <c r="E30" s="110">
        <f>E29</f>
        <v>0</v>
      </c>
      <c r="I30" s="360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9.421875" style="118" customWidth="1"/>
    <col min="2" max="2" width="59.8515625" style="118" customWidth="1"/>
    <col min="3" max="3" width="15.8515625" style="118" customWidth="1"/>
    <col min="4" max="4" width="14.28125" style="118" customWidth="1"/>
    <col min="5" max="5" width="13.28125" style="118" customWidth="1"/>
    <col min="6" max="6" width="9.140625" style="118" customWidth="1"/>
    <col min="7" max="7" width="13.421875" style="118" customWidth="1"/>
    <col min="8" max="16384" width="9.140625" style="118" customWidth="1"/>
  </cols>
  <sheetData>
    <row r="1" ht="46.5" customHeight="1">
      <c r="B1" s="218" t="s">
        <v>174</v>
      </c>
    </row>
    <row r="2" ht="46.5" customHeight="1">
      <c r="B2" s="218" t="s">
        <v>1191</v>
      </c>
    </row>
    <row r="3" spans="1:6" ht="18.75">
      <c r="A3" s="1411" t="s">
        <v>163</v>
      </c>
      <c r="B3" s="1411"/>
      <c r="C3" s="1411"/>
      <c r="D3" s="1411"/>
      <c r="E3" s="273"/>
      <c r="F3" s="273"/>
    </row>
    <row r="4" spans="1:4" s="278" customFormat="1" ht="18">
      <c r="A4" s="1409" t="s">
        <v>1093</v>
      </c>
      <c r="B4" s="1409"/>
      <c r="C4" s="1409"/>
      <c r="D4" s="1409"/>
    </row>
    <row r="5" spans="1:4" s="278" customFormat="1" ht="18">
      <c r="A5" s="677"/>
      <c r="B5" s="649" t="s">
        <v>327</v>
      </c>
      <c r="C5" s="113"/>
      <c r="D5" s="650">
        <v>18421</v>
      </c>
    </row>
    <row r="6" spans="1:5" s="278" customFormat="1" ht="18">
      <c r="A6" s="677"/>
      <c r="B6" s="649" t="s">
        <v>328</v>
      </c>
      <c r="C6" s="113"/>
      <c r="D6" s="650">
        <f>38243*0.106*6/12</f>
        <v>2026.879</v>
      </c>
      <c r="E6" s="19" t="s">
        <v>329</v>
      </c>
    </row>
    <row r="7" spans="1:4" s="278" customFormat="1" ht="18">
      <c r="A7" s="680"/>
      <c r="B7" s="678" t="s">
        <v>486</v>
      </c>
      <c r="C7" s="681"/>
      <c r="D7" s="1063">
        <f>SUM(D5:D6)</f>
        <v>20447.879</v>
      </c>
    </row>
    <row r="8" spans="1:4" s="278" customFormat="1" ht="18">
      <c r="A8" s="276"/>
      <c r="B8" s="276" t="s">
        <v>1162</v>
      </c>
      <c r="C8" s="276"/>
      <c r="D8" s="277"/>
    </row>
    <row r="9" spans="1:5" s="278" customFormat="1" ht="18">
      <c r="A9" s="649"/>
      <c r="B9" s="649" t="s">
        <v>1162</v>
      </c>
      <c r="C9" s="113">
        <v>17789550</v>
      </c>
      <c r="D9" s="113">
        <v>17790</v>
      </c>
      <c r="E9" s="649" t="s">
        <v>1164</v>
      </c>
    </row>
    <row r="10" spans="1:4" s="278" customFormat="1" ht="18">
      <c r="A10" s="649"/>
      <c r="B10" s="649" t="s">
        <v>483</v>
      </c>
      <c r="C10" s="650">
        <f>17789399*0.12*6/12</f>
        <v>1067363.94</v>
      </c>
      <c r="D10" s="650">
        <f>17789399*0.12*6/12/1000</f>
        <v>1067.36394</v>
      </c>
    </row>
    <row r="11" spans="1:4" s="278" customFormat="1" ht="18">
      <c r="A11" s="649"/>
      <c r="B11" s="649" t="s">
        <v>484</v>
      </c>
      <c r="C11" s="113">
        <v>131998550</v>
      </c>
      <c r="D11" s="650">
        <v>131999</v>
      </c>
    </row>
    <row r="12" spans="1:4" s="278" customFormat="1" ht="18">
      <c r="A12" s="649"/>
      <c r="B12" s="649" t="s">
        <v>485</v>
      </c>
      <c r="C12" s="113">
        <f>131998550*0.12*6/12</f>
        <v>7919913</v>
      </c>
      <c r="D12" s="113">
        <f>131998550*0.12*6/12/1000</f>
        <v>7919.913</v>
      </c>
    </row>
    <row r="13" spans="1:6" s="278" customFormat="1" ht="18">
      <c r="A13" s="284">
        <v>57311</v>
      </c>
      <c r="B13" s="284" t="s">
        <v>199</v>
      </c>
      <c r="C13" s="104"/>
      <c r="D13" s="285">
        <f>SUM(D9:D12)</f>
        <v>158776.27694</v>
      </c>
      <c r="E13" s="654"/>
      <c r="F13" s="654"/>
    </row>
    <row r="14" spans="1:6" s="278" customFormat="1" ht="18">
      <c r="A14" s="651"/>
      <c r="B14" s="651" t="s">
        <v>878</v>
      </c>
      <c r="C14" s="102"/>
      <c r="D14" s="652">
        <f>35722-1600</f>
        <v>34122</v>
      </c>
      <c r="E14" s="653"/>
      <c r="F14" s="653"/>
    </row>
    <row r="15" spans="1:4" s="278" customFormat="1" ht="18">
      <c r="A15" s="649"/>
      <c r="B15" s="649"/>
      <c r="C15" s="649"/>
      <c r="D15" s="653"/>
    </row>
    <row r="16" spans="1:4" s="278" customFormat="1" ht="18">
      <c r="A16" s="1410" t="s">
        <v>1094</v>
      </c>
      <c r="B16" s="1410"/>
      <c r="C16" s="1410"/>
      <c r="D16" s="679">
        <f>D7+D13+D14</f>
        <v>213346.15594000003</v>
      </c>
    </row>
    <row r="17" s="278" customFormat="1" ht="18"/>
    <row r="18" spans="1:4" ht="18">
      <c r="A18" s="1412" t="s">
        <v>961</v>
      </c>
      <c r="B18" s="1412"/>
      <c r="C18" s="1412"/>
      <c r="D18" s="280">
        <f>+D16</f>
        <v>213346.15594000003</v>
      </c>
    </row>
    <row r="21" spans="1:4" ht="18.75">
      <c r="A21" s="1414"/>
      <c r="B21" s="1414"/>
      <c r="C21" s="1414"/>
      <c r="D21" s="1414"/>
    </row>
    <row r="22" spans="1:7" s="278" customFormat="1" ht="18">
      <c r="A22" s="276"/>
      <c r="B22" s="649" t="s">
        <v>487</v>
      </c>
      <c r="C22" s="276"/>
      <c r="D22" s="279">
        <f>(D13+D7)*0.6</f>
        <v>107534.49356400002</v>
      </c>
      <c r="G22" s="277"/>
    </row>
    <row r="23" spans="1:4" s="278" customFormat="1" ht="28.5" customHeight="1">
      <c r="A23" s="287"/>
      <c r="B23" s="389"/>
      <c r="C23" s="141"/>
      <c r="D23" s="404"/>
    </row>
    <row r="24" spans="1:4" s="278" customFormat="1" ht="18">
      <c r="A24" s="281"/>
      <c r="C24" s="139"/>
      <c r="D24" s="282"/>
    </row>
    <row r="25" spans="1:4" s="278" customFormat="1" ht="18">
      <c r="A25" s="1413"/>
      <c r="B25" s="1413"/>
      <c r="C25" s="1413"/>
      <c r="D25" s="274"/>
    </row>
    <row r="26" s="278" customFormat="1" ht="18"/>
    <row r="27" spans="1:4" ht="18">
      <c r="A27" s="1412" t="s">
        <v>962</v>
      </c>
      <c r="B27" s="1412"/>
      <c r="C27" s="1412"/>
      <c r="D27" s="280"/>
    </row>
  </sheetData>
  <sheetProtection/>
  <mergeCells count="7">
    <mergeCell ref="A4:D4"/>
    <mergeCell ref="A16:C16"/>
    <mergeCell ref="A3:D3"/>
    <mergeCell ref="A27:C27"/>
    <mergeCell ref="A25:C25"/>
    <mergeCell ref="A18:C18"/>
    <mergeCell ref="A21:D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21" sqref="E21"/>
    </sheetView>
  </sheetViews>
  <sheetFormatPr defaultColWidth="9.140625" defaultRowHeight="27" customHeight="1"/>
  <cols>
    <col min="1" max="1" width="13.57421875" style="91" bestFit="1" customWidth="1"/>
    <col min="2" max="2" width="58.421875" style="91" bestFit="1" customWidth="1"/>
    <col min="3" max="6" width="10.421875" style="91" bestFit="1" customWidth="1"/>
    <col min="7" max="16384" width="9.140625" style="91" customWidth="1"/>
  </cols>
  <sheetData>
    <row r="1" spans="1:5" ht="27" customHeight="1">
      <c r="A1" s="118"/>
      <c r="B1" s="117" t="s">
        <v>130</v>
      </c>
      <c r="C1" s="118"/>
      <c r="D1" s="118"/>
      <c r="E1" s="118"/>
    </row>
    <row r="2" spans="1:5" ht="27" customHeight="1">
      <c r="A2" s="118"/>
      <c r="B2" s="351" t="s">
        <v>379</v>
      </c>
      <c r="C2" s="118"/>
      <c r="D2" s="118"/>
      <c r="E2" s="118"/>
    </row>
    <row r="3" spans="1:5" ht="27" customHeight="1">
      <c r="A3" s="118"/>
      <c r="B3" s="118"/>
      <c r="C3" s="118"/>
      <c r="D3" s="118"/>
      <c r="E3" s="118"/>
    </row>
    <row r="4" spans="1:5" ht="27" customHeight="1">
      <c r="A4" s="1411" t="s">
        <v>163</v>
      </c>
      <c r="B4" s="1411"/>
      <c r="C4" s="1411"/>
      <c r="D4" s="1411"/>
      <c r="E4" s="1411"/>
    </row>
    <row r="5" spans="1:5" ht="27" customHeight="1">
      <c r="A5" s="1417" t="s">
        <v>1480</v>
      </c>
      <c r="B5" s="1417"/>
      <c r="C5" s="1417"/>
      <c r="D5" s="1417"/>
      <c r="E5" s="1417"/>
    </row>
    <row r="6" spans="1:5" ht="27" customHeight="1">
      <c r="A6" s="348"/>
      <c r="B6" s="348"/>
      <c r="C6" s="348"/>
      <c r="D6" s="348"/>
      <c r="E6" s="348"/>
    </row>
    <row r="7" spans="1:5" ht="27" customHeight="1">
      <c r="A7" s="1415" t="s">
        <v>1485</v>
      </c>
      <c r="B7" s="1416"/>
      <c r="C7" s="1416"/>
      <c r="D7" s="1416"/>
      <c r="E7" s="1416"/>
    </row>
    <row r="8" spans="1:5" ht="27" customHeight="1">
      <c r="A8" s="140"/>
      <c r="B8" s="140"/>
      <c r="C8" s="139"/>
      <c r="D8" s="139"/>
      <c r="E8" s="139"/>
    </row>
    <row r="9" spans="1:5" ht="27" customHeight="1">
      <c r="A9" s="1417" t="s">
        <v>1487</v>
      </c>
      <c r="B9" s="1417"/>
      <c r="C9" s="1417"/>
      <c r="D9" s="1417"/>
      <c r="E9" s="1417"/>
    </row>
    <row r="11" spans="1:5" ht="27" customHeight="1">
      <c r="A11" s="477">
        <v>5431</v>
      </c>
      <c r="B11" s="478" t="s">
        <v>982</v>
      </c>
      <c r="C11" s="376"/>
      <c r="D11" s="376"/>
      <c r="E11" s="376">
        <v>0</v>
      </c>
    </row>
    <row r="12" spans="1:5" ht="27" customHeight="1">
      <c r="A12" s="477">
        <v>5441</v>
      </c>
      <c r="B12" s="477" t="s">
        <v>201</v>
      </c>
      <c r="C12" s="376"/>
      <c r="D12" s="376"/>
      <c r="E12" s="376">
        <v>0</v>
      </c>
    </row>
    <row r="13" spans="1:5" ht="27" customHeight="1">
      <c r="A13" s="482" t="s">
        <v>983</v>
      </c>
      <c r="B13" s="482"/>
      <c r="C13" s="482"/>
      <c r="D13" s="482"/>
      <c r="E13" s="483">
        <f>+E11+E12</f>
        <v>0</v>
      </c>
    </row>
    <row r="14" spans="1:5" ht="27" customHeight="1">
      <c r="A14" s="477">
        <v>55111</v>
      </c>
      <c r="B14" s="478" t="s">
        <v>987</v>
      </c>
      <c r="C14" s="376"/>
      <c r="D14" s="376"/>
      <c r="E14" s="376">
        <v>43</v>
      </c>
    </row>
    <row r="15" spans="1:5" ht="27" customHeight="1">
      <c r="A15" s="477">
        <v>55213</v>
      </c>
      <c r="B15" s="478" t="s">
        <v>934</v>
      </c>
      <c r="C15" s="376"/>
      <c r="D15" s="376"/>
      <c r="E15" s="376">
        <v>26</v>
      </c>
    </row>
    <row r="16" spans="1:5" ht="27" customHeight="1">
      <c r="A16" s="477">
        <v>55214</v>
      </c>
      <c r="B16" s="478" t="s">
        <v>989</v>
      </c>
      <c r="C16" s="376"/>
      <c r="D16" s="376"/>
      <c r="E16" s="376">
        <v>27</v>
      </c>
    </row>
    <row r="17" spans="1:5" ht="27" customHeight="1">
      <c r="A17" s="477">
        <v>55215</v>
      </c>
      <c r="B17" s="478" t="s">
        <v>990</v>
      </c>
      <c r="C17" s="376"/>
      <c r="D17" s="376"/>
      <c r="E17" s="376">
        <v>70</v>
      </c>
    </row>
    <row r="18" spans="1:5" ht="27" customHeight="1">
      <c r="A18" s="482" t="s">
        <v>986</v>
      </c>
      <c r="B18" s="482"/>
      <c r="C18" s="482"/>
      <c r="D18" s="482"/>
      <c r="E18" s="483">
        <f>+E14+E16+E17+E15</f>
        <v>166</v>
      </c>
    </row>
    <row r="19" spans="1:5" ht="27" customHeight="1">
      <c r="A19" s="479">
        <v>56111</v>
      </c>
      <c r="B19" s="480" t="s">
        <v>994</v>
      </c>
      <c r="C19" s="480"/>
      <c r="D19" s="480"/>
      <c r="E19" s="481">
        <f>E18*0.27</f>
        <v>44.82</v>
      </c>
    </row>
    <row r="20" spans="1:5" ht="27" customHeight="1">
      <c r="A20" s="477">
        <v>56211</v>
      </c>
      <c r="B20" s="477" t="s">
        <v>995</v>
      </c>
      <c r="C20" s="477"/>
      <c r="D20" s="376"/>
      <c r="E20" s="376">
        <v>14</v>
      </c>
    </row>
    <row r="21" spans="1:5" ht="27" customHeight="1">
      <c r="A21" s="477">
        <v>56319</v>
      </c>
      <c r="B21" s="478" t="s">
        <v>203</v>
      </c>
      <c r="C21" s="376"/>
      <c r="D21" s="376"/>
      <c r="E21" s="376">
        <v>25</v>
      </c>
    </row>
    <row r="22" spans="1:5" ht="27" customHeight="1" thickBot="1">
      <c r="A22" s="484" t="s">
        <v>993</v>
      </c>
      <c r="B22" s="484"/>
      <c r="C22" s="484"/>
      <c r="D22" s="484"/>
      <c r="E22" s="485">
        <f>+E19+E20+E21</f>
        <v>83.82</v>
      </c>
    </row>
    <row r="23" spans="1:5" ht="27" customHeight="1" thickBot="1">
      <c r="A23" s="1418" t="s">
        <v>162</v>
      </c>
      <c r="B23" s="1419"/>
      <c r="C23" s="1419"/>
      <c r="D23" s="1419"/>
      <c r="E23" s="486">
        <f>+E13+E18+E22</f>
        <v>249.82</v>
      </c>
    </row>
    <row r="24" spans="1:5" ht="27" customHeight="1">
      <c r="A24" s="349"/>
      <c r="B24" s="349"/>
      <c r="C24" s="349">
        <v>1.25</v>
      </c>
      <c r="D24" s="349"/>
      <c r="E24" s="350"/>
    </row>
    <row r="25" spans="1:5" ht="27" customHeight="1">
      <c r="A25" s="1417" t="s">
        <v>190</v>
      </c>
      <c r="B25" s="1417"/>
      <c r="C25" s="1417"/>
      <c r="D25" s="1417"/>
      <c r="E25" s="1417"/>
    </row>
    <row r="26" spans="1:5" ht="27" customHeight="1">
      <c r="A26" s="118"/>
      <c r="B26" s="118"/>
      <c r="C26" s="118"/>
      <c r="D26" s="118"/>
      <c r="E26" s="118"/>
    </row>
    <row r="27" spans="1:5" ht="27" customHeight="1">
      <c r="A27" s="1413" t="s">
        <v>158</v>
      </c>
      <c r="B27" s="1413"/>
      <c r="C27" s="1413"/>
      <c r="D27" s="1413"/>
      <c r="E27" s="275"/>
    </row>
    <row r="28" spans="1:5" ht="27" customHeight="1">
      <c r="A28" s="118"/>
      <c r="B28" s="118"/>
      <c r="C28" s="118"/>
      <c r="D28" s="118"/>
      <c r="E28" s="118"/>
    </row>
    <row r="29" spans="1:5" ht="27" customHeight="1">
      <c r="A29" s="1417" t="s">
        <v>1496</v>
      </c>
      <c r="B29" s="1417"/>
      <c r="C29" s="1417"/>
      <c r="D29" s="1417"/>
      <c r="E29" s="1417"/>
    </row>
    <row r="30" spans="1:5" ht="27" customHeight="1">
      <c r="A30" s="118"/>
      <c r="B30" s="118"/>
      <c r="C30" s="118"/>
      <c r="D30" s="118"/>
      <c r="E30" s="118"/>
    </row>
    <row r="31" spans="1:5" ht="27" customHeight="1">
      <c r="A31" s="1413" t="s">
        <v>1497</v>
      </c>
      <c r="B31" s="1413"/>
      <c r="C31" s="1413"/>
      <c r="D31" s="1413"/>
      <c r="E31" s="275"/>
    </row>
    <row r="32" spans="1:5" ht="27" customHeight="1">
      <c r="A32" s="118"/>
      <c r="B32" s="118"/>
      <c r="C32" s="118"/>
      <c r="D32" s="118"/>
      <c r="E32" s="118"/>
    </row>
    <row r="33" spans="1:5" ht="27" customHeight="1">
      <c r="A33" s="1412" t="s">
        <v>961</v>
      </c>
      <c r="B33" s="1412"/>
      <c r="C33" s="1412"/>
      <c r="D33" s="1412"/>
      <c r="E33" s="280">
        <f>+E31+E27+E23</f>
        <v>249.82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1" bestFit="1" customWidth="1"/>
    <col min="2" max="2" width="61.8515625" style="91" customWidth="1"/>
    <col min="3" max="3" width="16.421875" style="91" customWidth="1"/>
    <col min="4" max="4" width="10.57421875" style="91" customWidth="1"/>
    <col min="5" max="5" width="17.00390625" style="91" customWidth="1"/>
    <col min="6" max="6" width="10.421875" style="91" bestFit="1" customWidth="1"/>
    <col min="7" max="16384" width="9.140625" style="91" customWidth="1"/>
  </cols>
  <sheetData>
    <row r="1" ht="27" customHeight="1">
      <c r="B1" s="368" t="s">
        <v>130</v>
      </c>
    </row>
    <row r="2" ht="27" customHeight="1">
      <c r="B2" s="352" t="s">
        <v>381</v>
      </c>
    </row>
    <row r="4" spans="1:5" ht="27" customHeight="1">
      <c r="A4" s="1386" t="s">
        <v>163</v>
      </c>
      <c r="B4" s="1386"/>
      <c r="C4" s="1386"/>
      <c r="D4" s="1386"/>
      <c r="E4" s="1386"/>
    </row>
    <row r="5" spans="1:5" ht="27" customHeight="1" thickBot="1">
      <c r="A5" s="437"/>
      <c r="B5" s="437"/>
      <c r="C5" s="438"/>
      <c r="D5" s="438"/>
      <c r="E5" s="438"/>
    </row>
    <row r="6" spans="1:5" ht="27" customHeight="1" thickBot="1">
      <c r="A6" s="1421" t="s">
        <v>1484</v>
      </c>
      <c r="B6" s="1422"/>
      <c r="C6" s="1422"/>
      <c r="D6" s="1422"/>
      <c r="E6" s="439"/>
    </row>
    <row r="7" spans="1:5" ht="27" customHeight="1" thickBot="1">
      <c r="A7" s="472"/>
      <c r="B7" s="472"/>
      <c r="C7" s="471"/>
      <c r="D7" s="471"/>
      <c r="E7" s="471"/>
    </row>
    <row r="8" spans="1:5" ht="27" customHeight="1" thickBot="1">
      <c r="A8" s="1421" t="s">
        <v>981</v>
      </c>
      <c r="B8" s="1422"/>
      <c r="C8" s="1422"/>
      <c r="D8" s="1422"/>
      <c r="E8" s="439"/>
    </row>
    <row r="9" spans="1:5" ht="27" customHeight="1">
      <c r="A9" s="497" t="s">
        <v>1495</v>
      </c>
      <c r="B9" s="498" t="s">
        <v>531</v>
      </c>
      <c r="C9" s="499">
        <f>(55864557*1.042)*0.6/1.27/1.042</f>
        <v>26392704.09448819</v>
      </c>
      <c r="D9" s="499"/>
      <c r="E9" s="500"/>
    </row>
    <row r="10" spans="1:5" ht="27" customHeight="1">
      <c r="A10" s="92">
        <v>552122</v>
      </c>
      <c r="B10" s="250" t="s">
        <v>1454</v>
      </c>
      <c r="C10" s="100"/>
      <c r="D10" s="100"/>
      <c r="E10" s="93">
        <f>ROUND(C9,-3)/1000</f>
        <v>26393</v>
      </c>
    </row>
    <row r="11" spans="1:5" ht="27" customHeight="1">
      <c r="A11" s="669">
        <v>56111</v>
      </c>
      <c r="B11" s="670" t="s">
        <v>994</v>
      </c>
      <c r="C11" s="262">
        <f>C9*0.27</f>
        <v>7126030.105511812</v>
      </c>
      <c r="D11" s="100"/>
      <c r="E11" s="93">
        <f>ROUND(C11,-3)/1000</f>
        <v>7126</v>
      </c>
    </row>
    <row r="12" spans="1:5" ht="27" customHeight="1" thickBot="1">
      <c r="A12" s="606">
        <v>55219</v>
      </c>
      <c r="B12" s="609" t="s">
        <v>106</v>
      </c>
      <c r="C12" s="607">
        <v>0</v>
      </c>
      <c r="D12" s="471"/>
      <c r="E12" s="608">
        <f>+ROUND(C12,-3)/1000</f>
        <v>0</v>
      </c>
    </row>
    <row r="13" spans="1:5" ht="27" customHeight="1" thickBot="1">
      <c r="A13" s="1421" t="s">
        <v>162</v>
      </c>
      <c r="B13" s="1422"/>
      <c r="C13" s="1422"/>
      <c r="D13" s="1422"/>
      <c r="E13" s="501">
        <f>SUM(E10:E12)</f>
        <v>33519</v>
      </c>
    </row>
    <row r="14" spans="1:5" ht="27" customHeight="1" thickBot="1">
      <c r="A14" s="472"/>
      <c r="B14" s="472"/>
      <c r="C14" s="472"/>
      <c r="D14" s="472"/>
      <c r="E14" s="472"/>
    </row>
    <row r="15" spans="1:5" ht="27" customHeight="1" thickBot="1">
      <c r="A15" s="1421" t="s">
        <v>158</v>
      </c>
      <c r="B15" s="1422"/>
      <c r="C15" s="1422"/>
      <c r="D15" s="1422"/>
      <c r="E15" s="439"/>
    </row>
    <row r="16" spans="1:5" ht="27" customHeight="1" thickBot="1">
      <c r="A16" s="472"/>
      <c r="B16" s="472"/>
      <c r="C16" s="472"/>
      <c r="D16" s="472"/>
      <c r="E16" s="472"/>
    </row>
    <row r="17" spans="1:5" ht="27" customHeight="1" thickBot="1">
      <c r="A17" s="1421" t="s">
        <v>1497</v>
      </c>
      <c r="B17" s="1422"/>
      <c r="C17" s="1422"/>
      <c r="D17" s="1422"/>
      <c r="E17" s="439"/>
    </row>
    <row r="18" spans="1:5" ht="27" customHeight="1" thickBot="1">
      <c r="A18" s="1424" t="s">
        <v>961</v>
      </c>
      <c r="B18" s="1425"/>
      <c r="C18" s="1425"/>
      <c r="D18" s="1425"/>
      <c r="E18" s="502">
        <f>+E17+E15+E13+E8+E6</f>
        <v>33519</v>
      </c>
    </row>
    <row r="20" spans="1:5" ht="27" customHeight="1">
      <c r="A20" s="1420" t="s">
        <v>164</v>
      </c>
      <c r="B20" s="1420"/>
      <c r="C20" s="1420"/>
      <c r="D20" s="1420"/>
      <c r="E20" s="1420"/>
    </row>
    <row r="22" s="90" customFormat="1" ht="27" customHeight="1">
      <c r="E22" s="120"/>
    </row>
    <row r="23" s="90" customFormat="1" ht="27" customHeight="1">
      <c r="E23" s="120"/>
    </row>
    <row r="24" spans="3:4" ht="27" customHeight="1">
      <c r="C24" s="120"/>
      <c r="D24" s="120"/>
    </row>
    <row r="25" spans="3:5" ht="27" customHeight="1">
      <c r="C25" s="98"/>
      <c r="D25" s="98"/>
      <c r="E25" s="98"/>
    </row>
    <row r="26" spans="1:5" ht="27" customHeight="1">
      <c r="A26" s="1400" t="s">
        <v>967</v>
      </c>
      <c r="B26" s="1423"/>
      <c r="C26" s="1423"/>
      <c r="D26" s="1423"/>
      <c r="E26" s="124">
        <f>E22</f>
        <v>0</v>
      </c>
    </row>
    <row r="27" spans="3:5" ht="27" customHeight="1">
      <c r="C27" s="98"/>
      <c r="D27" s="98"/>
      <c r="E27" s="98"/>
    </row>
    <row r="28" spans="3:5" ht="27" customHeight="1">
      <c r="C28" s="98"/>
      <c r="D28" s="98"/>
      <c r="E28" s="98"/>
    </row>
    <row r="29" spans="3:5" ht="27" customHeight="1">
      <c r="C29" s="98"/>
      <c r="D29" s="98"/>
      <c r="E29" s="98"/>
    </row>
    <row r="30" spans="3:5" ht="27" customHeight="1">
      <c r="C30" s="98"/>
      <c r="D30" s="98"/>
      <c r="E30" s="98"/>
    </row>
    <row r="31" spans="3:5" ht="27" customHeight="1">
      <c r="C31" s="98"/>
      <c r="D31" s="98"/>
      <c r="E31" s="98"/>
    </row>
    <row r="32" spans="3:5" ht="27" customHeight="1">
      <c r="C32" s="98"/>
      <c r="D32" s="98"/>
      <c r="E32" s="98"/>
    </row>
    <row r="33" spans="3:5" ht="27" customHeight="1">
      <c r="C33" s="98"/>
      <c r="D33" s="98"/>
      <c r="E33" s="98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8515625" style="293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17" t="s">
        <v>130</v>
      </c>
    </row>
    <row r="2" spans="1:2" ht="18">
      <c r="A2" s="294"/>
      <c r="B2" s="353" t="s">
        <v>382</v>
      </c>
    </row>
    <row r="4" spans="1:5" ht="15">
      <c r="A4" s="1382" t="s">
        <v>163</v>
      </c>
      <c r="B4" s="1382"/>
      <c r="C4" s="1382"/>
      <c r="D4" s="1382"/>
      <c r="E4" s="1382"/>
    </row>
    <row r="5" spans="1:5" ht="13.5" thickBot="1">
      <c r="A5" s="504"/>
      <c r="B5" s="469"/>
      <c r="C5" s="452"/>
      <c r="D5" s="452"/>
      <c r="E5" s="452"/>
    </row>
    <row r="6" spans="1:5" ht="16.5" thickBot="1">
      <c r="A6" s="1365" t="s">
        <v>1484</v>
      </c>
      <c r="B6" s="1366"/>
      <c r="C6" s="1366"/>
      <c r="D6" s="1366"/>
      <c r="E6" s="443"/>
    </row>
    <row r="7" spans="1:5" ht="13.5" thickBot="1">
      <c r="A7" s="506"/>
      <c r="B7" s="488"/>
      <c r="C7" s="489"/>
      <c r="D7" s="489"/>
      <c r="E7" s="489"/>
    </row>
    <row r="8" spans="1:5" ht="16.5" thickBot="1">
      <c r="A8" s="1365" t="s">
        <v>981</v>
      </c>
      <c r="B8" s="1366"/>
      <c r="C8" s="1366"/>
      <c r="D8" s="1366"/>
      <c r="E8" s="443"/>
    </row>
    <row r="9" spans="1:5" ht="25.5">
      <c r="A9" s="507">
        <v>55219</v>
      </c>
      <c r="B9" s="200" t="s">
        <v>51</v>
      </c>
      <c r="C9" s="508">
        <f>(1208000*1.057)*12</f>
        <v>15322272</v>
      </c>
      <c r="D9" s="487"/>
      <c r="E9" s="509">
        <f>C9/1000</f>
        <v>15322.272</v>
      </c>
    </row>
    <row r="10" spans="1:5" ht="13.5" thickBot="1">
      <c r="A10" s="503">
        <v>56111</v>
      </c>
      <c r="B10" s="467" t="s">
        <v>994</v>
      </c>
      <c r="C10" s="490">
        <v>0</v>
      </c>
      <c r="D10" s="63">
        <f>+ROUND(C10,-3)</f>
        <v>0</v>
      </c>
      <c r="E10" s="35">
        <f>C10/1000</f>
        <v>0</v>
      </c>
    </row>
    <row r="11" spans="1:5" ht="16.5" thickBot="1">
      <c r="A11" s="1365" t="s">
        <v>162</v>
      </c>
      <c r="B11" s="1366"/>
      <c r="C11" s="1366"/>
      <c r="D11" s="1366"/>
      <c r="E11" s="454">
        <f>+E10+E9</f>
        <v>15322.272</v>
      </c>
    </row>
    <row r="12" spans="1:5" ht="13.5" thickBot="1">
      <c r="A12" s="505"/>
      <c r="B12" s="169"/>
      <c r="C12" s="169"/>
      <c r="D12" s="169"/>
      <c r="E12" s="169"/>
    </row>
    <row r="13" spans="1:5" ht="16.5" thickBot="1">
      <c r="A13" s="1365" t="s">
        <v>158</v>
      </c>
      <c r="B13" s="1366"/>
      <c r="C13" s="1366"/>
      <c r="D13" s="1366"/>
      <c r="E13" s="443"/>
    </row>
    <row r="14" spans="1:5" ht="13.5" thickBot="1">
      <c r="A14" s="510"/>
      <c r="B14" s="170"/>
      <c r="C14" s="170"/>
      <c r="D14" s="170"/>
      <c r="E14" s="170"/>
    </row>
    <row r="15" spans="1:5" ht="16.5" thickBot="1">
      <c r="A15" s="1365" t="s">
        <v>1497</v>
      </c>
      <c r="B15" s="1366"/>
      <c r="C15" s="1366"/>
      <c r="D15" s="1366"/>
      <c r="E15" s="443"/>
    </row>
    <row r="16" spans="1:5" ht="16.5" thickBot="1">
      <c r="A16" s="1373" t="s">
        <v>961</v>
      </c>
      <c r="B16" s="1374"/>
      <c r="C16" s="1374"/>
      <c r="D16" s="1374"/>
      <c r="E16" s="455">
        <f>+E15+E13+E11+E8+E6</f>
        <v>15322.272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17" t="s">
        <v>130</v>
      </c>
    </row>
    <row r="2" ht="27" customHeight="1">
      <c r="B2" s="353" t="s">
        <v>383</v>
      </c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65"/>
      <c r="B6" s="65"/>
      <c r="C6" s="66"/>
      <c r="D6" s="66"/>
      <c r="E6" s="66"/>
    </row>
    <row r="7" spans="1:5" ht="15.75">
      <c r="A7" s="1379" t="s">
        <v>1484</v>
      </c>
      <c r="B7" s="1379"/>
      <c r="C7" s="1379"/>
      <c r="D7" s="1379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215" t="s">
        <v>1485</v>
      </c>
      <c r="B10" s="1372"/>
      <c r="C10" s="1372"/>
      <c r="D10" s="1372"/>
      <c r="E10" s="1372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379" t="s">
        <v>981</v>
      </c>
      <c r="B13" s="1379"/>
      <c r="C13" s="1379"/>
      <c r="D13" s="1379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217" t="s">
        <v>1487</v>
      </c>
      <c r="B16" s="1217"/>
      <c r="C16" s="1217"/>
      <c r="D16" s="1217"/>
      <c r="E16" s="1217"/>
    </row>
    <row r="17" spans="1:5" ht="12.75">
      <c r="A17" s="1217" t="s">
        <v>983</v>
      </c>
      <c r="B17" s="1217"/>
      <c r="C17" s="1217"/>
      <c r="D17" s="1217"/>
      <c r="E17" s="1217"/>
    </row>
    <row r="18" spans="1:5" ht="12.75">
      <c r="A18" s="65"/>
      <c r="B18" s="65"/>
      <c r="C18" s="66"/>
      <c r="D18" s="66"/>
      <c r="E18" s="66"/>
    </row>
    <row r="19" spans="1:5" ht="12.75">
      <c r="A19" s="1217" t="s">
        <v>986</v>
      </c>
      <c r="B19" s="1217"/>
      <c r="C19" s="1217"/>
      <c r="D19" s="1217"/>
      <c r="E19" s="1217"/>
    </row>
    <row r="20" spans="1:5" ht="12.75">
      <c r="A20" s="25"/>
      <c r="B20" s="29"/>
      <c r="C20" s="33"/>
      <c r="D20" s="33"/>
      <c r="E20" s="33"/>
    </row>
    <row r="21" spans="1:5" ht="12.75">
      <c r="A21" s="1217" t="s">
        <v>993</v>
      </c>
      <c r="B21" s="1217"/>
      <c r="C21" s="1217"/>
      <c r="D21" s="1217"/>
      <c r="E21" s="1217"/>
    </row>
    <row r="23" spans="1:8" ht="15.75">
      <c r="A23" s="1379" t="s">
        <v>162</v>
      </c>
      <c r="B23" s="1379"/>
      <c r="C23" s="1379"/>
      <c r="D23" s="1379"/>
      <c r="E23" s="71"/>
      <c r="F23" s="1426"/>
      <c r="G23" s="1426"/>
      <c r="H23" s="1426"/>
    </row>
    <row r="24" spans="1:5" ht="15.75">
      <c r="A24" s="78"/>
      <c r="B24" s="78"/>
      <c r="C24" s="78"/>
      <c r="D24" s="78"/>
      <c r="E24" s="79"/>
    </row>
    <row r="25" spans="1:5" ht="12.75">
      <c r="A25" s="1217" t="s">
        <v>190</v>
      </c>
      <c r="B25" s="1217"/>
      <c r="C25" s="1217"/>
      <c r="D25" s="1217"/>
      <c r="E25" s="1217"/>
    </row>
    <row r="27" spans="1:5" ht="15.75">
      <c r="A27" s="1379" t="s">
        <v>158</v>
      </c>
      <c r="B27" s="1379"/>
      <c r="C27" s="1379"/>
      <c r="D27" s="1379"/>
      <c r="E27" s="76"/>
    </row>
    <row r="29" spans="1:5" ht="12.75">
      <c r="A29" s="1217" t="s">
        <v>1496</v>
      </c>
      <c r="B29" s="1217"/>
      <c r="C29" s="1217"/>
      <c r="D29" s="1217"/>
      <c r="E29" s="1217"/>
    </row>
    <row r="30" spans="1:5" ht="12.75">
      <c r="A30" s="52"/>
      <c r="B30" s="52"/>
      <c r="C30" s="52"/>
      <c r="D30" s="52"/>
      <c r="E30" s="52"/>
    </row>
    <row r="31" spans="1:5" ht="12.75">
      <c r="A31" s="52"/>
      <c r="B31" s="52"/>
      <c r="C31" s="52"/>
      <c r="D31" s="52"/>
      <c r="E31" s="52"/>
    </row>
    <row r="32" spans="1:5" ht="12.75">
      <c r="A32" s="52"/>
      <c r="B32" s="52"/>
      <c r="C32" s="52"/>
      <c r="D32" s="52"/>
      <c r="E32" s="52"/>
    </row>
    <row r="33" spans="1:5" ht="12.75">
      <c r="A33" s="52"/>
      <c r="B33" s="52"/>
      <c r="C33" s="52"/>
      <c r="D33" s="52"/>
      <c r="E33" s="52"/>
    </row>
    <row r="35" spans="1:5" ht="15.75">
      <c r="A35" s="1379" t="s">
        <v>1497</v>
      </c>
      <c r="B35" s="1379"/>
      <c r="C35" s="1379"/>
      <c r="D35" s="1379"/>
      <c r="E35" s="76">
        <v>6725</v>
      </c>
    </row>
    <row r="37" spans="1:5" ht="15.75">
      <c r="A37" s="1376" t="s">
        <v>961</v>
      </c>
      <c r="B37" s="1376"/>
      <c r="C37" s="1376"/>
      <c r="D37" s="1376"/>
      <c r="E37" s="77">
        <f>+E35+E27+E23+E13+E7</f>
        <v>6725</v>
      </c>
    </row>
  </sheetData>
  <sheetProtection/>
  <mergeCells count="16">
    <mergeCell ref="F23:H23"/>
    <mergeCell ref="A29:E29"/>
    <mergeCell ref="A21:E21"/>
    <mergeCell ref="A23:D23"/>
    <mergeCell ref="A35:D35"/>
    <mergeCell ref="A37:D37"/>
    <mergeCell ref="A25:E25"/>
    <mergeCell ref="A27:D27"/>
    <mergeCell ref="A13:D13"/>
    <mergeCell ref="A16:E16"/>
    <mergeCell ref="A17:E17"/>
    <mergeCell ref="A19:E19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10">
      <selection activeCell="C26" sqref="C26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17" t="s">
        <v>130</v>
      </c>
    </row>
    <row r="2" ht="23.25" customHeight="1">
      <c r="B2" s="119" t="s">
        <v>385</v>
      </c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65"/>
      <c r="B6" s="65"/>
      <c r="C6" s="66"/>
      <c r="D6" s="66"/>
      <c r="E6" s="66"/>
    </row>
    <row r="7" spans="1:5" ht="15.75">
      <c r="A7" s="1379" t="s">
        <v>1484</v>
      </c>
      <c r="B7" s="1379"/>
      <c r="C7" s="1379"/>
      <c r="D7" s="1379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215" t="s">
        <v>1485</v>
      </c>
      <c r="B10" s="1372"/>
      <c r="C10" s="1372"/>
      <c r="D10" s="1372"/>
      <c r="E10" s="1372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379" t="s">
        <v>981</v>
      </c>
      <c r="B13" s="1379"/>
      <c r="C13" s="1379"/>
      <c r="D13" s="1379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12" ht="27" customHeight="1">
      <c r="A16" s="1217" t="s">
        <v>1487</v>
      </c>
      <c r="B16" s="1217"/>
      <c r="C16" s="1217"/>
      <c r="D16" s="1217"/>
      <c r="E16" s="1217"/>
      <c r="K16">
        <v>0</v>
      </c>
      <c r="L16">
        <v>1</v>
      </c>
    </row>
    <row r="18" spans="1:5" ht="15.75">
      <c r="A18" s="1379" t="s">
        <v>162</v>
      </c>
      <c r="B18" s="1379"/>
      <c r="C18" s="1379"/>
      <c r="D18" s="1379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217" t="s">
        <v>190</v>
      </c>
      <c r="B20" s="1217"/>
      <c r="C20" s="1217"/>
      <c r="D20" s="1217"/>
      <c r="E20" s="1217"/>
    </row>
    <row r="22" spans="1:5" ht="15.75">
      <c r="A22" s="1379" t="s">
        <v>158</v>
      </c>
      <c r="B22" s="1379"/>
      <c r="C22" s="1379"/>
      <c r="D22" s="1379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217" t="s">
        <v>184</v>
      </c>
      <c r="B24" s="1217"/>
      <c r="C24" s="1217"/>
      <c r="D24" s="1217"/>
      <c r="E24" s="1217"/>
    </row>
    <row r="25" spans="1:5" ht="12.75">
      <c r="A25" s="85">
        <v>583125</v>
      </c>
      <c r="B25" s="82" t="s">
        <v>1086</v>
      </c>
      <c r="C25" s="84">
        <v>100000</v>
      </c>
      <c r="D25" s="84">
        <f>+ROUND(C25,-3)</f>
        <v>100000</v>
      </c>
      <c r="E25" s="83">
        <f>+D25/1000</f>
        <v>100</v>
      </c>
    </row>
    <row r="26" spans="1:5" ht="12.75">
      <c r="A26" s="61"/>
      <c r="B26" s="61" t="s">
        <v>1085</v>
      </c>
      <c r="C26" s="75">
        <v>100000</v>
      </c>
      <c r="D26" s="61"/>
      <c r="E26" s="61"/>
    </row>
    <row r="27" spans="1:5" ht="15.75">
      <c r="A27" s="1379" t="s">
        <v>189</v>
      </c>
      <c r="B27" s="1379"/>
      <c r="C27" s="1379"/>
      <c r="D27" s="1379"/>
      <c r="E27" s="76">
        <f>+E25</f>
        <v>100</v>
      </c>
    </row>
    <row r="28" spans="1:5" ht="12.75">
      <c r="A28" s="81"/>
      <c r="B28" s="81"/>
      <c r="C28" s="81"/>
      <c r="D28" s="81"/>
      <c r="E28" s="55"/>
    </row>
    <row r="29" spans="1:5" ht="12.75">
      <c r="A29" s="1217" t="s">
        <v>1496</v>
      </c>
      <c r="B29" s="1217"/>
      <c r="C29" s="1217"/>
      <c r="D29" s="1217"/>
      <c r="E29" s="1217"/>
    </row>
    <row r="31" spans="1:5" ht="15.75">
      <c r="A31" s="1379" t="s">
        <v>1497</v>
      </c>
      <c r="B31" s="1379"/>
      <c r="C31" s="1379"/>
      <c r="D31" s="1379"/>
      <c r="E31" s="76"/>
    </row>
    <row r="33" spans="1:5" ht="15.75">
      <c r="A33" s="1376" t="s">
        <v>961</v>
      </c>
      <c r="B33" s="1376"/>
      <c r="C33" s="1376"/>
      <c r="D33" s="1376"/>
      <c r="E33" s="77">
        <f>+E31+E22+E18+E13+E7+E27</f>
        <v>100</v>
      </c>
    </row>
  </sheetData>
  <sheetProtection/>
  <mergeCells count="14">
    <mergeCell ref="A18:D18"/>
    <mergeCell ref="A20:E20"/>
    <mergeCell ref="A31:D31"/>
    <mergeCell ref="A33:D33"/>
    <mergeCell ref="A22:D22"/>
    <mergeCell ref="A24:E24"/>
    <mergeCell ref="A27:D27"/>
    <mergeCell ref="A29:E29"/>
    <mergeCell ref="A16:E16"/>
    <mergeCell ref="A4:E4"/>
    <mergeCell ref="A5:E5"/>
    <mergeCell ref="A7:D7"/>
    <mergeCell ref="A10:E10"/>
    <mergeCell ref="A13:D13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O42"/>
  <sheetViews>
    <sheetView view="pageBreakPreview" zoomScale="95" zoomScaleNormal="85" zoomScaleSheetLayoutView="95" zoomScalePageLayoutView="0" workbookViewId="0" topLeftCell="A1">
      <pane xSplit="1" topLeftCell="X1" activePane="topRight" state="frozen"/>
      <selection pane="topLeft" activeCell="A4" sqref="A4"/>
      <selection pane="topRight" activeCell="AP3" sqref="AP3"/>
    </sheetView>
  </sheetViews>
  <sheetFormatPr defaultColWidth="9.140625" defaultRowHeight="12.75"/>
  <cols>
    <col min="1" max="1" width="40.8515625" style="0" bestFit="1" customWidth="1"/>
    <col min="2" max="2" width="12.140625" style="0" customWidth="1"/>
    <col min="3" max="3" width="10.7109375" style="0" customWidth="1"/>
    <col min="4" max="4" width="9.57421875" style="0" customWidth="1"/>
    <col min="5" max="5" width="11.57421875" style="0" customWidth="1"/>
    <col min="6" max="6" width="11.00390625" style="0" customWidth="1"/>
    <col min="7" max="7" width="10.7109375" style="0" customWidth="1"/>
    <col min="8" max="8" width="9.8515625" style="0" customWidth="1"/>
    <col min="9" max="9" width="10.140625" style="0" customWidth="1"/>
    <col min="10" max="10" width="11.140625" style="0" customWidth="1"/>
    <col min="11" max="12" width="10.851562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1.140625" style="0" customWidth="1"/>
    <col min="17" max="17" width="9.8515625" style="0" customWidth="1"/>
    <col min="18" max="18" width="8.421875" style="0" customWidth="1"/>
    <col min="19" max="19" width="8.57421875" style="0" customWidth="1"/>
    <col min="20" max="20" width="8.7109375" style="0" customWidth="1"/>
    <col min="21" max="21" width="8.8515625" style="0" customWidth="1"/>
    <col min="22" max="22" width="9.28125" style="0" customWidth="1"/>
    <col min="23" max="23" width="10.57421875" style="0" customWidth="1"/>
    <col min="24" max="24" width="8.8515625" style="0" customWidth="1"/>
    <col min="25" max="25" width="9.00390625" style="0" customWidth="1"/>
    <col min="26" max="26" width="10.00390625" style="0" customWidth="1"/>
    <col min="27" max="27" width="9.140625" style="0" customWidth="1"/>
    <col min="28" max="29" width="8.8515625" style="0" customWidth="1"/>
    <col min="30" max="31" width="7.8515625" style="0" customWidth="1"/>
    <col min="32" max="32" width="7.421875" style="0" customWidth="1"/>
    <col min="33" max="33" width="6.57421875" style="0" customWidth="1"/>
    <col min="34" max="34" width="10.7109375" style="0" customWidth="1"/>
    <col min="35" max="35" width="8.57421875" style="0" customWidth="1"/>
    <col min="36" max="36" width="10.00390625" style="0" customWidth="1"/>
    <col min="37" max="37" width="9.421875" style="0" customWidth="1"/>
    <col min="38" max="38" width="8.57421875" style="0" customWidth="1"/>
    <col min="39" max="39" width="7.57421875" style="0" customWidth="1"/>
    <col min="40" max="40" width="9.421875" style="0" customWidth="1"/>
    <col min="41" max="41" width="8.8515625" style="0" customWidth="1"/>
  </cols>
  <sheetData>
    <row r="1" spans="34:41" ht="12.75">
      <c r="AH1" s="1105"/>
      <c r="AI1" s="865"/>
      <c r="AJ1" s="865"/>
      <c r="AK1" s="865"/>
      <c r="AN1" s="1261" t="s">
        <v>1526</v>
      </c>
      <c r="AO1" s="1217"/>
    </row>
    <row r="2" spans="1:38" ht="12.75">
      <c r="A2" s="1214"/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1214"/>
    </row>
    <row r="3" spans="1:41" ht="42" customHeight="1">
      <c r="A3" s="1213" t="s">
        <v>1533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1213"/>
      <c r="R3" s="1213"/>
      <c r="S3" s="1213"/>
      <c r="T3" s="1213"/>
      <c r="U3" s="1213"/>
      <c r="V3" s="1213"/>
      <c r="W3" s="1213"/>
      <c r="X3" s="1213"/>
      <c r="Y3" s="1213"/>
      <c r="Z3" s="1213"/>
      <c r="AA3" s="1213"/>
      <c r="AB3" s="1213"/>
      <c r="AC3" s="1213"/>
      <c r="AD3" s="1213"/>
      <c r="AE3" s="1213"/>
      <c r="AF3" s="1213"/>
      <c r="AG3" s="1213"/>
      <c r="AH3" s="1213"/>
      <c r="AI3" s="1213"/>
      <c r="AJ3" s="1213"/>
      <c r="AK3" s="1213"/>
      <c r="AL3" s="1213"/>
      <c r="AM3" s="1213"/>
      <c r="AN3" s="1213"/>
      <c r="AO3" s="1213"/>
    </row>
    <row r="4" spans="1:41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I4" s="894"/>
      <c r="AJ4" s="894"/>
      <c r="AK4" s="894"/>
      <c r="AL4" s="894"/>
      <c r="AO4" s="894" t="s">
        <v>161</v>
      </c>
    </row>
    <row r="5" spans="1:41" ht="12.75">
      <c r="A5" s="1262" t="s">
        <v>450</v>
      </c>
      <c r="B5" s="1263" t="s">
        <v>1124</v>
      </c>
      <c r="C5" s="1264"/>
      <c r="D5" s="1264"/>
      <c r="E5" s="1265"/>
      <c r="F5" s="1263" t="s">
        <v>1011</v>
      </c>
      <c r="G5" s="1264"/>
      <c r="H5" s="1264"/>
      <c r="I5" s="1265"/>
      <c r="J5" s="1263" t="s">
        <v>1022</v>
      </c>
      <c r="K5" s="1264"/>
      <c r="L5" s="1264"/>
      <c r="M5" s="1265"/>
      <c r="N5" s="1263" t="s">
        <v>1013</v>
      </c>
      <c r="O5" s="1264"/>
      <c r="P5" s="1264"/>
      <c r="Q5" s="1265"/>
      <c r="R5" s="1278" t="s">
        <v>1279</v>
      </c>
      <c r="S5" s="1279"/>
      <c r="T5" s="1279"/>
      <c r="U5" s="1279"/>
      <c r="V5" s="1279"/>
      <c r="W5" s="1279"/>
      <c r="X5" s="1279"/>
      <c r="Y5" s="1280"/>
      <c r="Z5" s="1263" t="s">
        <v>533</v>
      </c>
      <c r="AA5" s="1264"/>
      <c r="AB5" s="1264"/>
      <c r="AC5" s="1265"/>
      <c r="AD5" s="1263" t="s">
        <v>1019</v>
      </c>
      <c r="AE5" s="1264"/>
      <c r="AF5" s="1264"/>
      <c r="AG5" s="1265"/>
      <c r="AH5" s="1263" t="s">
        <v>1024</v>
      </c>
      <c r="AI5" s="1264"/>
      <c r="AJ5" s="1264"/>
      <c r="AK5" s="1265"/>
      <c r="AL5" s="1263" t="s">
        <v>1010</v>
      </c>
      <c r="AM5" s="1264"/>
      <c r="AN5" s="1264"/>
      <c r="AO5" s="1265"/>
    </row>
    <row r="6" spans="1:41" ht="27" customHeight="1">
      <c r="A6" s="1262"/>
      <c r="B6" s="1266"/>
      <c r="C6" s="1267"/>
      <c r="D6" s="1267"/>
      <c r="E6" s="1268"/>
      <c r="F6" s="1266"/>
      <c r="G6" s="1267"/>
      <c r="H6" s="1267"/>
      <c r="I6" s="1268"/>
      <c r="J6" s="1266"/>
      <c r="K6" s="1267"/>
      <c r="L6" s="1267"/>
      <c r="M6" s="1268"/>
      <c r="N6" s="1266"/>
      <c r="O6" s="1267"/>
      <c r="P6" s="1267"/>
      <c r="Q6" s="1268"/>
      <c r="R6" s="1275" t="s">
        <v>262</v>
      </c>
      <c r="S6" s="1276"/>
      <c r="T6" s="1276"/>
      <c r="U6" s="1277"/>
      <c r="V6" s="1218" t="s">
        <v>263</v>
      </c>
      <c r="W6" s="1219"/>
      <c r="X6" s="1219"/>
      <c r="Y6" s="1220"/>
      <c r="Z6" s="1266"/>
      <c r="AA6" s="1267"/>
      <c r="AB6" s="1267"/>
      <c r="AC6" s="1268"/>
      <c r="AD6" s="1266"/>
      <c r="AE6" s="1267"/>
      <c r="AF6" s="1267"/>
      <c r="AG6" s="1268"/>
      <c r="AH6" s="1266"/>
      <c r="AI6" s="1267"/>
      <c r="AJ6" s="1267"/>
      <c r="AK6" s="1268"/>
      <c r="AL6" s="1266"/>
      <c r="AM6" s="1267"/>
      <c r="AN6" s="1267"/>
      <c r="AO6" s="1268"/>
    </row>
    <row r="7" spans="1:41" ht="12.75">
      <c r="A7" s="1262"/>
      <c r="B7" s="168" t="s">
        <v>1012</v>
      </c>
      <c r="C7" s="168" t="s">
        <v>1103</v>
      </c>
      <c r="D7" s="168" t="s">
        <v>1528</v>
      </c>
      <c r="E7" s="168" t="s">
        <v>1529</v>
      </c>
      <c r="F7" s="168" t="s">
        <v>1012</v>
      </c>
      <c r="G7" s="168" t="s">
        <v>1103</v>
      </c>
      <c r="H7" s="168" t="s">
        <v>1528</v>
      </c>
      <c r="I7" s="168" t="s">
        <v>1529</v>
      </c>
      <c r="J7" s="168" t="s">
        <v>1012</v>
      </c>
      <c r="K7" s="168" t="s">
        <v>1103</v>
      </c>
      <c r="L7" s="168" t="s">
        <v>1528</v>
      </c>
      <c r="M7" s="168" t="s">
        <v>1529</v>
      </c>
      <c r="N7" s="168" t="s">
        <v>1012</v>
      </c>
      <c r="O7" s="168" t="s">
        <v>1103</v>
      </c>
      <c r="P7" s="168" t="s">
        <v>1528</v>
      </c>
      <c r="Q7" s="168" t="s">
        <v>1529</v>
      </c>
      <c r="R7" s="168" t="s">
        <v>1012</v>
      </c>
      <c r="S7" s="168" t="s">
        <v>1103</v>
      </c>
      <c r="T7" s="168" t="s">
        <v>1528</v>
      </c>
      <c r="U7" s="168" t="s">
        <v>1529</v>
      </c>
      <c r="V7" s="168" t="s">
        <v>1012</v>
      </c>
      <c r="W7" s="168" t="s">
        <v>1103</v>
      </c>
      <c r="X7" s="168" t="s">
        <v>1528</v>
      </c>
      <c r="Y7" s="168" t="s">
        <v>1529</v>
      </c>
      <c r="Z7" s="168" t="s">
        <v>1012</v>
      </c>
      <c r="AA7" s="168" t="s">
        <v>1103</v>
      </c>
      <c r="AB7" s="168" t="s">
        <v>1528</v>
      </c>
      <c r="AC7" s="168" t="s">
        <v>1529</v>
      </c>
      <c r="AD7" s="168" t="s">
        <v>1012</v>
      </c>
      <c r="AE7" s="168" t="s">
        <v>1103</v>
      </c>
      <c r="AF7" s="168" t="s">
        <v>1528</v>
      </c>
      <c r="AG7" s="168" t="s">
        <v>1529</v>
      </c>
      <c r="AH7" s="168" t="s">
        <v>1012</v>
      </c>
      <c r="AI7" s="168" t="s">
        <v>1103</v>
      </c>
      <c r="AJ7" s="168" t="s">
        <v>1528</v>
      </c>
      <c r="AK7" s="168" t="s">
        <v>1529</v>
      </c>
      <c r="AL7" s="168" t="s">
        <v>1488</v>
      </c>
      <c r="AM7" s="739" t="s">
        <v>264</v>
      </c>
      <c r="AN7" s="14" t="s">
        <v>1528</v>
      </c>
      <c r="AO7" s="562" t="s">
        <v>1529</v>
      </c>
    </row>
    <row r="8" spans="1:41" ht="12.75">
      <c r="A8" s="1269" t="s">
        <v>265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0"/>
      <c r="S8" s="1270"/>
      <c r="T8" s="1270"/>
      <c r="U8" s="1270"/>
      <c r="V8" s="1270"/>
      <c r="W8" s="1270"/>
      <c r="X8" s="1270"/>
      <c r="Y8" s="1270"/>
      <c r="Z8" s="1270"/>
      <c r="AA8" s="1270"/>
      <c r="AB8" s="1270"/>
      <c r="AC8" s="1270"/>
      <c r="AD8" s="1270"/>
      <c r="AE8" s="1270"/>
      <c r="AF8" s="1270"/>
      <c r="AG8" s="1270"/>
      <c r="AH8" s="1270"/>
      <c r="AI8" s="1270"/>
      <c r="AJ8" s="1270"/>
      <c r="AK8" s="1270"/>
      <c r="AL8" s="1270"/>
      <c r="AM8" s="1270"/>
      <c r="AN8" s="1270"/>
      <c r="AO8" s="1271"/>
    </row>
    <row r="9" spans="1:41" ht="4.5" customHeight="1">
      <c r="A9" s="1272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  <c r="AB9" s="1273"/>
      <c r="AC9" s="1273"/>
      <c r="AD9" s="1273"/>
      <c r="AE9" s="1273"/>
      <c r="AF9" s="1273"/>
      <c r="AG9" s="1273"/>
      <c r="AH9" s="1273"/>
      <c r="AI9" s="1273"/>
      <c r="AJ9" s="1273"/>
      <c r="AK9" s="1273"/>
      <c r="AL9" s="1273"/>
      <c r="AM9" s="1273"/>
      <c r="AN9" s="1273"/>
      <c r="AO9" s="1274"/>
    </row>
    <row r="10" spans="1:41" ht="15.75" customHeight="1">
      <c r="A10" s="877" t="s">
        <v>560</v>
      </c>
      <c r="B10" s="171">
        <f>'841126-PHiv'!D50</f>
        <v>87587</v>
      </c>
      <c r="C10" s="171">
        <f>B10</f>
        <v>87587</v>
      </c>
      <c r="D10" s="171">
        <v>43653.072</v>
      </c>
      <c r="E10" s="1124">
        <f>D10/C10</f>
        <v>0.49839670270702274</v>
      </c>
      <c r="F10" s="171">
        <f>'841126-PHiv'!D52</f>
        <v>22156.74</v>
      </c>
      <c r="G10" s="171">
        <f>F10</f>
        <v>22156.74</v>
      </c>
      <c r="H10" s="171">
        <v>11209</v>
      </c>
      <c r="I10" s="1124">
        <f>H10/G10</f>
        <v>0.5058957229267482</v>
      </c>
      <c r="J10" s="47">
        <f>'841126-PHiv'!D110</f>
        <v>30717.05</v>
      </c>
      <c r="K10" s="47">
        <f>J10</f>
        <v>30717.05</v>
      </c>
      <c r="L10" s="47">
        <v>16167.188</v>
      </c>
      <c r="M10" s="1125">
        <f>L10/K10</f>
        <v>0.5263261934332887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306"/>
      <c r="AE10" s="173"/>
      <c r="AF10" s="173"/>
      <c r="AG10" s="173"/>
      <c r="AH10" s="174">
        <f>B10+F10+J10+N10+R10+V10+Z10+AD10</f>
        <v>140460.79</v>
      </c>
      <c r="AI10" s="174">
        <f>+C10+G10+K10+O10+S10+W10+AA10+AE10</f>
        <v>140460.79</v>
      </c>
      <c r="AJ10" s="174">
        <f>+D10+H10+L10+P10+T10+X10+AB10+AF10</f>
        <v>71029.26</v>
      </c>
      <c r="AK10" s="1128">
        <f>AJ10/AI10</f>
        <v>0.5056874591122547</v>
      </c>
      <c r="AL10" s="175">
        <v>37</v>
      </c>
      <c r="AM10" s="176">
        <f>AL10</f>
        <v>37</v>
      </c>
      <c r="AN10" s="176">
        <v>32</v>
      </c>
      <c r="AO10" s="1129">
        <f>AN10/AM10</f>
        <v>0.8648648648648649</v>
      </c>
    </row>
    <row r="11" spans="1:41" ht="15.75" customHeight="1">
      <c r="A11" s="877" t="s">
        <v>74</v>
      </c>
      <c r="B11" s="171">
        <f>'841133-adó beszedése'!E22</f>
        <v>5685</v>
      </c>
      <c r="C11" s="171">
        <f>B11</f>
        <v>5685</v>
      </c>
      <c r="D11" s="171">
        <v>2861.136</v>
      </c>
      <c r="E11" s="1124">
        <f>D11/C11</f>
        <v>0.5032781002638522</v>
      </c>
      <c r="F11" s="171">
        <f>'841133-adó beszedése'!E26</f>
        <v>1413.45</v>
      </c>
      <c r="G11" s="171">
        <f>F11</f>
        <v>1413.45</v>
      </c>
      <c r="H11" s="171">
        <v>787.569</v>
      </c>
      <c r="I11" s="1124">
        <f>H11/G11</f>
        <v>0.5571962220099755</v>
      </c>
      <c r="J11" s="171">
        <f>'841133-adó beszedése'!E32</f>
        <v>305.65</v>
      </c>
      <c r="K11" s="47">
        <f>J11</f>
        <v>305.65</v>
      </c>
      <c r="L11" s="47">
        <v>0</v>
      </c>
      <c r="M11" s="1125">
        <f aca="true" t="shared" si="0" ref="M11:M42">L11/K11</f>
        <v>0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4"/>
      <c r="X11" s="174"/>
      <c r="Y11" s="174"/>
      <c r="Z11" s="174"/>
      <c r="AA11" s="174"/>
      <c r="AB11" s="174"/>
      <c r="AC11" s="174"/>
      <c r="AD11" s="1045"/>
      <c r="AE11" s="173"/>
      <c r="AF11" s="173"/>
      <c r="AG11" s="173"/>
      <c r="AH11" s="174">
        <f>B11+F11+J11+N11+R11+V11+Z11+AD11</f>
        <v>7404.099999999999</v>
      </c>
      <c r="AI11" s="174">
        <f>C11+G11+K11+O11+S11+W11+AA11+AE11</f>
        <v>7404.099999999999</v>
      </c>
      <c r="AJ11" s="174">
        <f>D11+H11+L11+P11+T11+X11+AB11+AF11</f>
        <v>3648.705</v>
      </c>
      <c r="AK11" s="1128">
        <f aca="true" t="shared" si="1" ref="AK11:AK42">AJ11/AI11</f>
        <v>0.492795208060399</v>
      </c>
      <c r="AL11" s="175">
        <v>3</v>
      </c>
      <c r="AM11" s="176">
        <f>AL11</f>
        <v>3</v>
      </c>
      <c r="AN11" s="176">
        <v>3</v>
      </c>
      <c r="AO11" s="1129">
        <f>AN11/AM11</f>
        <v>1</v>
      </c>
    </row>
    <row r="12" spans="1:41" ht="18" customHeight="1">
      <c r="A12" s="878" t="s">
        <v>266</v>
      </c>
      <c r="B12" s="171">
        <f>'841125-115-Elsőfokú ép. hatóság'!E26</f>
        <v>4193</v>
      </c>
      <c r="C12" s="171">
        <f>B12</f>
        <v>4193</v>
      </c>
      <c r="D12" s="171">
        <v>670.702</v>
      </c>
      <c r="E12" s="1124">
        <f>D12/C12</f>
        <v>0.159957548294777</v>
      </c>
      <c r="F12" s="171">
        <f>'841125-115-Elsőfokú ép. hatóság'!E30</f>
        <v>1058.94</v>
      </c>
      <c r="G12" s="171">
        <f>F12</f>
        <v>1058.94</v>
      </c>
      <c r="H12" s="171">
        <v>167.549</v>
      </c>
      <c r="I12" s="1124">
        <f>H12/G12</f>
        <v>0.15822331765727993</v>
      </c>
      <c r="J12" s="171">
        <f>'841125-115-Elsőfokú ép. hatóság'!E38</f>
        <v>142.41</v>
      </c>
      <c r="K12" s="47">
        <f>J12</f>
        <v>142.41</v>
      </c>
      <c r="L12" s="47">
        <v>0</v>
      </c>
      <c r="M12" s="1125">
        <f t="shared" si="0"/>
        <v>0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4"/>
      <c r="X12" s="174"/>
      <c r="Y12" s="174"/>
      <c r="Z12" s="174"/>
      <c r="AA12" s="174"/>
      <c r="AB12" s="174"/>
      <c r="AC12" s="174"/>
      <c r="AD12" s="173"/>
      <c r="AE12" s="173"/>
      <c r="AF12" s="173"/>
      <c r="AG12" s="173"/>
      <c r="AH12" s="174">
        <f>B12+F12+J12+N12+R12+V12+Z12+AD12</f>
        <v>5394.35</v>
      </c>
      <c r="AI12" s="174">
        <f>C12+G12+K12+O12+S12+W12+AA12+AE12</f>
        <v>5394.35</v>
      </c>
      <c r="AJ12" s="174">
        <f>D12+H12+L12+P12+T12+X12+AB12+AF12</f>
        <v>838.251</v>
      </c>
      <c r="AK12" s="1128">
        <f t="shared" si="1"/>
        <v>0.15539425510024377</v>
      </c>
      <c r="AL12" s="175">
        <v>2</v>
      </c>
      <c r="AM12" s="176">
        <f>AL12</f>
        <v>2</v>
      </c>
      <c r="AN12" s="176">
        <v>2</v>
      </c>
      <c r="AO12" s="1129">
        <f>AN12/AM12</f>
        <v>1</v>
      </c>
    </row>
    <row r="13" spans="1:41" ht="16.5" customHeight="1">
      <c r="A13" s="145"/>
      <c r="B13" s="171"/>
      <c r="C13" s="171"/>
      <c r="D13" s="171"/>
      <c r="E13" s="1124"/>
      <c r="F13" s="171"/>
      <c r="G13" s="171"/>
      <c r="H13" s="171"/>
      <c r="I13" s="1124"/>
      <c r="J13" s="171"/>
      <c r="K13" s="171"/>
      <c r="L13" s="171"/>
      <c r="M13" s="1125"/>
      <c r="N13" s="171"/>
      <c r="O13" s="171"/>
      <c r="P13" s="171"/>
      <c r="Q13" s="171"/>
      <c r="R13" s="171"/>
      <c r="S13" s="171"/>
      <c r="T13" s="171"/>
      <c r="U13" s="171"/>
      <c r="V13" s="171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>
        <f>+C13+G13+K13+O13+S13+W13+AA13+AE13</f>
        <v>0</v>
      </c>
      <c r="AJ13" s="174">
        <f>+D13+H13+L13+P13+T13+X13+AB13+AF13</f>
        <v>0</v>
      </c>
      <c r="AK13" s="1128"/>
      <c r="AL13" s="175"/>
      <c r="AM13" s="176"/>
      <c r="AN13" s="6"/>
      <c r="AO13" s="1129"/>
    </row>
    <row r="14" spans="1:41" ht="12.75">
      <c r="A14" s="210" t="s">
        <v>1137</v>
      </c>
      <c r="B14" s="177">
        <f aca="true" t="shared" si="2" ref="B14:L14">SUM(B10:B13)</f>
        <v>97465</v>
      </c>
      <c r="C14" s="177">
        <f t="shared" si="2"/>
        <v>97465</v>
      </c>
      <c r="D14" s="177">
        <f t="shared" si="2"/>
        <v>47184.909999999996</v>
      </c>
      <c r="E14" s="1466">
        <f aca="true" t="shared" si="3" ref="E14:E19">D14/C14</f>
        <v>0.4841215821063971</v>
      </c>
      <c r="F14" s="177">
        <f t="shared" si="2"/>
        <v>24629.13</v>
      </c>
      <c r="G14" s="177">
        <f t="shared" si="2"/>
        <v>24629.13</v>
      </c>
      <c r="H14" s="177">
        <f t="shared" si="2"/>
        <v>12164.118</v>
      </c>
      <c r="I14" s="1124">
        <f aca="true" t="shared" si="4" ref="I14:I19">H14/G14</f>
        <v>0.4938915016486575</v>
      </c>
      <c r="J14" s="177">
        <f t="shared" si="2"/>
        <v>31165.11</v>
      </c>
      <c r="K14" s="177">
        <f t="shared" si="2"/>
        <v>31165.11</v>
      </c>
      <c r="L14" s="177">
        <f t="shared" si="2"/>
        <v>16167.188</v>
      </c>
      <c r="M14" s="1126">
        <f t="shared" si="0"/>
        <v>0.5187592150324514</v>
      </c>
      <c r="N14" s="171"/>
      <c r="O14" s="171"/>
      <c r="P14" s="171"/>
      <c r="Q14" s="171"/>
      <c r="R14" s="171"/>
      <c r="S14" s="171"/>
      <c r="T14" s="171"/>
      <c r="U14" s="171"/>
      <c r="V14" s="171"/>
      <c r="W14" s="598"/>
      <c r="X14" s="598"/>
      <c r="Y14" s="598"/>
      <c r="Z14" s="174"/>
      <c r="AA14" s="174"/>
      <c r="AB14" s="174"/>
      <c r="AC14" s="174"/>
      <c r="AD14" s="174"/>
      <c r="AE14" s="174"/>
      <c r="AF14" s="174"/>
      <c r="AG14" s="174"/>
      <c r="AH14" s="868">
        <f aca="true" t="shared" si="5" ref="AH14:AH40">B14+F14+J14+N14+R14+V14+Z14+AD14</f>
        <v>153259.24</v>
      </c>
      <c r="AI14" s="868">
        <f aca="true" t="shared" si="6" ref="AI14:AI40">C14+G14+K14+O14+S14+W14+AA14+AE14</f>
        <v>153259.24</v>
      </c>
      <c r="AJ14" s="868">
        <f aca="true" t="shared" si="7" ref="AJ14:AJ40">D14+H14+L14+P14+T14+X14+AB14+AF14</f>
        <v>75516.216</v>
      </c>
      <c r="AK14" s="1128">
        <f t="shared" si="1"/>
        <v>0.4927351590677339</v>
      </c>
      <c r="AL14" s="1088">
        <f>SUM(AL10:AL13)</f>
        <v>42</v>
      </c>
      <c r="AM14" s="1088">
        <f>SUM(AM10:AM13)</f>
        <v>42</v>
      </c>
      <c r="AN14" s="1088">
        <f>SUM(AN10:AN13)</f>
        <v>37</v>
      </c>
      <c r="AO14" s="1129">
        <f>AN14/AM14</f>
        <v>0.8809523809523809</v>
      </c>
    </row>
    <row r="15" spans="1:41" ht="15" customHeight="1">
      <c r="A15" s="878" t="s">
        <v>267</v>
      </c>
      <c r="B15" s="171">
        <f>'841112-117-Képviselőtestület'!E12</f>
        <v>3780</v>
      </c>
      <c r="C15" s="171">
        <f>B15</f>
        <v>3780</v>
      </c>
      <c r="D15" s="171">
        <v>0</v>
      </c>
      <c r="E15" s="1124">
        <f t="shared" si="3"/>
        <v>0</v>
      </c>
      <c r="F15" s="171">
        <f>'841112-117-Képviselőtestület'!E17</f>
        <v>1020.6</v>
      </c>
      <c r="G15" s="171">
        <f>F15</f>
        <v>1020.6</v>
      </c>
      <c r="H15" s="171">
        <v>0</v>
      </c>
      <c r="I15" s="1124">
        <f t="shared" si="4"/>
        <v>0</v>
      </c>
      <c r="J15" s="171">
        <f>'841112-117-Képviselőtestület'!E41</f>
        <v>2101</v>
      </c>
      <c r="K15" s="171">
        <f>J15</f>
        <v>2101</v>
      </c>
      <c r="L15" s="171">
        <v>1679.844</v>
      </c>
      <c r="M15" s="1125">
        <f t="shared" si="0"/>
        <v>0.7995449785816279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74"/>
      <c r="X15" s="174"/>
      <c r="Y15" s="174"/>
      <c r="Z15" s="174"/>
      <c r="AA15" s="174"/>
      <c r="AB15" s="174"/>
      <c r="AC15" s="174"/>
      <c r="AD15" s="173"/>
      <c r="AE15" s="173"/>
      <c r="AF15" s="173"/>
      <c r="AG15" s="173"/>
      <c r="AH15" s="174">
        <f t="shared" si="5"/>
        <v>6901.6</v>
      </c>
      <c r="AI15" s="174">
        <f t="shared" si="6"/>
        <v>6901.6</v>
      </c>
      <c r="AJ15" s="174">
        <f t="shared" si="7"/>
        <v>1679.844</v>
      </c>
      <c r="AK15" s="1128">
        <f t="shared" si="1"/>
        <v>0.24339921177697924</v>
      </c>
      <c r="AL15" s="175"/>
      <c r="AM15" s="176"/>
      <c r="AN15" s="6"/>
      <c r="AO15" s="1129"/>
    </row>
    <row r="16" spans="1:41" ht="12.75">
      <c r="A16" s="145" t="s">
        <v>392</v>
      </c>
      <c r="B16" s="171">
        <f>'862101-Háziorvosi alapellátás'!E27</f>
        <v>6168</v>
      </c>
      <c r="C16" s="171">
        <f>B16</f>
        <v>6168</v>
      </c>
      <c r="D16" s="171">
        <v>3169.99</v>
      </c>
      <c r="E16" s="1124">
        <f t="shared" si="3"/>
        <v>0.5139413099870298</v>
      </c>
      <c r="F16" s="171">
        <f>'862101-Háziorvosi alapellátás'!E34</f>
        <v>1503.3600000000001</v>
      </c>
      <c r="G16" s="171">
        <f>F16</f>
        <v>1503.3600000000001</v>
      </c>
      <c r="H16" s="171">
        <v>831.838</v>
      </c>
      <c r="I16" s="1124">
        <f t="shared" si="4"/>
        <v>0.5533192315879096</v>
      </c>
      <c r="J16" s="171">
        <f>'862101-Háziorvosi alapellátás'!E45</f>
        <v>1648.77</v>
      </c>
      <c r="K16" s="171">
        <f aca="true" t="shared" si="8" ref="K16:K35">J16</f>
        <v>1648.77</v>
      </c>
      <c r="L16" s="171">
        <v>449.749</v>
      </c>
      <c r="M16" s="1125">
        <f t="shared" si="0"/>
        <v>0.2727784954845127</v>
      </c>
      <c r="N16" s="171"/>
      <c r="O16" s="171"/>
      <c r="P16" s="171"/>
      <c r="Q16" s="171"/>
      <c r="R16" s="171"/>
      <c r="S16" s="171"/>
      <c r="T16" s="171"/>
      <c r="U16" s="171"/>
      <c r="V16" s="171"/>
      <c r="W16" s="598"/>
      <c r="X16" s="598"/>
      <c r="Y16" s="598"/>
      <c r="Z16" s="174"/>
      <c r="AA16" s="174"/>
      <c r="AB16" s="174"/>
      <c r="AC16" s="174"/>
      <c r="AD16" s="174"/>
      <c r="AE16" s="174"/>
      <c r="AF16" s="174"/>
      <c r="AG16" s="174"/>
      <c r="AH16" s="174">
        <f t="shared" si="5"/>
        <v>9320.130000000001</v>
      </c>
      <c r="AI16" s="174">
        <f t="shared" si="6"/>
        <v>9320.130000000001</v>
      </c>
      <c r="AJ16" s="174">
        <f t="shared" si="7"/>
        <v>4451.576999999999</v>
      </c>
      <c r="AK16" s="1128">
        <f t="shared" si="1"/>
        <v>0.4776303549414009</v>
      </c>
      <c r="AL16" s="175">
        <v>2</v>
      </c>
      <c r="AM16" s="175">
        <v>2</v>
      </c>
      <c r="AN16" s="175">
        <v>2</v>
      </c>
      <c r="AO16" s="1129">
        <f>AN16/AM16</f>
        <v>1</v>
      </c>
    </row>
    <row r="17" spans="1:41" ht="12.75">
      <c r="A17" s="145" t="s">
        <v>25</v>
      </c>
      <c r="B17" s="171">
        <f>'869041-Védőnő1'!E23+'869042-Védőnő2'!E23</f>
        <v>8169</v>
      </c>
      <c r="C17" s="171">
        <f>B17</f>
        <v>8169</v>
      </c>
      <c r="D17" s="171">
        <v>4659.431</v>
      </c>
      <c r="E17" s="1124">
        <f t="shared" si="3"/>
        <v>0.5703796058269065</v>
      </c>
      <c r="F17" s="171">
        <f>'869041-Védőnő1'!E30+'869042-Védőnő2'!E30</f>
        <v>2205</v>
      </c>
      <c r="G17" s="171">
        <f>F17</f>
        <v>2205</v>
      </c>
      <c r="H17" s="171">
        <v>1220.213</v>
      </c>
      <c r="I17" s="1124">
        <f t="shared" si="4"/>
        <v>0.5533845804988662</v>
      </c>
      <c r="J17" s="171">
        <f>'869042-Védőnő2'!E44</f>
        <v>2709.84</v>
      </c>
      <c r="K17" s="171">
        <f t="shared" si="8"/>
        <v>2709.84</v>
      </c>
      <c r="L17" s="171">
        <v>713.311</v>
      </c>
      <c r="M17" s="1125">
        <f t="shared" si="0"/>
        <v>0.2632299323945325</v>
      </c>
      <c r="N17" s="171"/>
      <c r="O17" s="171"/>
      <c r="P17" s="171"/>
      <c r="Q17" s="171"/>
      <c r="R17" s="171"/>
      <c r="S17" s="171"/>
      <c r="T17" s="171"/>
      <c r="U17" s="171"/>
      <c r="V17" s="171"/>
      <c r="W17" s="598"/>
      <c r="X17" s="598"/>
      <c r="Y17" s="598"/>
      <c r="Z17" s="174"/>
      <c r="AA17" s="174"/>
      <c r="AB17" s="174"/>
      <c r="AC17" s="174"/>
      <c r="AD17" s="174"/>
      <c r="AE17" s="174"/>
      <c r="AF17" s="174"/>
      <c r="AG17" s="174"/>
      <c r="AH17" s="174">
        <f t="shared" si="5"/>
        <v>13083.84</v>
      </c>
      <c r="AI17" s="174">
        <f t="shared" si="6"/>
        <v>13083.84</v>
      </c>
      <c r="AJ17" s="174">
        <f t="shared" si="7"/>
        <v>6592.954999999999</v>
      </c>
      <c r="AK17" s="1128">
        <f t="shared" si="1"/>
        <v>0.5039006132756132</v>
      </c>
      <c r="AL17" s="175">
        <v>4</v>
      </c>
      <c r="AM17" s="175">
        <v>4</v>
      </c>
      <c r="AN17" s="175">
        <v>4</v>
      </c>
      <c r="AO17" s="1129">
        <f>AN17/AM17</f>
        <v>1</v>
      </c>
    </row>
    <row r="18" spans="1:41" ht="12.75">
      <c r="A18" s="145" t="s">
        <v>276</v>
      </c>
      <c r="B18" s="171">
        <f>'890441-Közcélú 2012'!D30</f>
        <v>114137</v>
      </c>
      <c r="C18" s="171">
        <f>B18</f>
        <v>114137</v>
      </c>
      <c r="D18" s="171">
        <v>46036.489</v>
      </c>
      <c r="E18" s="1124">
        <f t="shared" si="3"/>
        <v>0.4033441302995523</v>
      </c>
      <c r="F18" s="171">
        <f>'890441-Közcélú 2012'!D35</f>
        <v>15409</v>
      </c>
      <c r="G18" s="171">
        <f>F18</f>
        <v>15409</v>
      </c>
      <c r="H18" s="171">
        <v>6234.767</v>
      </c>
      <c r="I18" s="1124">
        <f t="shared" si="4"/>
        <v>0.40461853462262315</v>
      </c>
      <c r="J18" s="171">
        <f>'890441-Közcélú 2012'!D43</f>
        <v>19219</v>
      </c>
      <c r="K18" s="171">
        <f t="shared" si="8"/>
        <v>19219</v>
      </c>
      <c r="L18" s="171">
        <v>16010.427</v>
      </c>
      <c r="M18" s="1125">
        <f t="shared" si="0"/>
        <v>0.8330520318434882</v>
      </c>
      <c r="N18" s="171"/>
      <c r="O18" s="171"/>
      <c r="P18" s="171"/>
      <c r="Q18" s="171"/>
      <c r="R18" s="171"/>
      <c r="S18" s="171"/>
      <c r="T18" s="171"/>
      <c r="U18" s="171"/>
      <c r="V18" s="171"/>
      <c r="W18" s="47"/>
      <c r="X18" s="47"/>
      <c r="Y18" s="47"/>
      <c r="Z18" s="47"/>
      <c r="AA18" s="47"/>
      <c r="AB18" s="47"/>
      <c r="AC18" s="47"/>
      <c r="AD18" s="47"/>
      <c r="AE18" s="47"/>
      <c r="AF18" s="174"/>
      <c r="AG18" s="174"/>
      <c r="AH18" s="174">
        <f t="shared" si="5"/>
        <v>148765</v>
      </c>
      <c r="AI18" s="174">
        <f t="shared" si="6"/>
        <v>148765</v>
      </c>
      <c r="AJ18" s="174">
        <f t="shared" si="7"/>
        <v>68281.683</v>
      </c>
      <c r="AK18" s="1128">
        <f t="shared" si="1"/>
        <v>0.4589902396397002</v>
      </c>
      <c r="AL18" s="1090">
        <v>123</v>
      </c>
      <c r="AM18" s="1090">
        <v>123</v>
      </c>
      <c r="AN18" s="175">
        <v>121.6</v>
      </c>
      <c r="AO18" s="1129">
        <f>AN18/AM18</f>
        <v>0.9886178861788617</v>
      </c>
    </row>
    <row r="19" spans="1:41" ht="12.75">
      <c r="A19" s="145" t="s">
        <v>1306</v>
      </c>
      <c r="B19" s="171">
        <f>'841126-116-Önk. igazgatás'!E8</f>
        <v>1200</v>
      </c>
      <c r="C19" s="171">
        <f>B19</f>
        <v>1200</v>
      </c>
      <c r="D19" s="171">
        <v>2821</v>
      </c>
      <c r="E19" s="1124">
        <f t="shared" si="3"/>
        <v>2.3508333333333336</v>
      </c>
      <c r="F19" s="171">
        <f>'841126-116-Önk. igazgatás'!E9</f>
        <v>324</v>
      </c>
      <c r="G19" s="171">
        <f>F19</f>
        <v>324</v>
      </c>
      <c r="H19" s="171">
        <v>430.569</v>
      </c>
      <c r="I19" s="1124">
        <f t="shared" si="4"/>
        <v>1.3289166666666667</v>
      </c>
      <c r="J19" s="171">
        <f>'841126-116-Önk. igazgatás'!E73</f>
        <v>10655</v>
      </c>
      <c r="K19" s="171">
        <f t="shared" si="8"/>
        <v>10655</v>
      </c>
      <c r="L19" s="620">
        <f>32828.3-2435.445-10928.474-3954.639</f>
        <v>15509.742000000002</v>
      </c>
      <c r="M19" s="1125">
        <f t="shared" si="0"/>
        <v>1.4556304082590334</v>
      </c>
      <c r="N19" s="171"/>
      <c r="O19" s="171"/>
      <c r="P19" s="171"/>
      <c r="Q19" s="171"/>
      <c r="R19" s="171">
        <f>'841126-116-Önk. igazgatás'!E84</f>
        <v>12342</v>
      </c>
      <c r="S19" s="171">
        <f>3bm!D20</f>
        <v>8402</v>
      </c>
      <c r="T19" s="171">
        <f>3bm!E20</f>
        <v>6926.798</v>
      </c>
      <c r="U19" s="1124">
        <f>T19/S19</f>
        <v>0.8244225184479885</v>
      </c>
      <c r="V19" s="171">
        <f>'841126-116-Önk. igazgatás'!E111</f>
        <v>89611</v>
      </c>
      <c r="W19" s="1047">
        <f>3bm!D42</f>
        <v>82939</v>
      </c>
      <c r="X19" s="1047">
        <f>3bm!E42</f>
        <v>37321.172999999995</v>
      </c>
      <c r="Y19" s="1127">
        <f>X19/W19</f>
        <v>0.44998339743667026</v>
      </c>
      <c r="Z19" s="171"/>
      <c r="AA19" s="174"/>
      <c r="AB19" s="174"/>
      <c r="AC19" s="174"/>
      <c r="AD19" s="174"/>
      <c r="AE19" s="174"/>
      <c r="AF19" s="174"/>
      <c r="AG19" s="174"/>
      <c r="AH19" s="174">
        <f t="shared" si="5"/>
        <v>114132</v>
      </c>
      <c r="AI19" s="174">
        <f t="shared" si="6"/>
        <v>103520</v>
      </c>
      <c r="AJ19" s="174">
        <f t="shared" si="7"/>
        <v>63009.28199999999</v>
      </c>
      <c r="AK19" s="1128">
        <f t="shared" si="1"/>
        <v>0.6086677163833075</v>
      </c>
      <c r="AL19" s="175"/>
      <c r="AM19" s="176"/>
      <c r="AN19" s="175"/>
      <c r="AO19" s="1129"/>
    </row>
    <row r="20" spans="1:41" ht="18" customHeight="1">
      <c r="A20" s="145" t="s">
        <v>268</v>
      </c>
      <c r="B20" s="171"/>
      <c r="C20" s="171"/>
      <c r="D20" s="171"/>
      <c r="E20" s="1124"/>
      <c r="F20" s="171"/>
      <c r="G20" s="171"/>
      <c r="H20" s="171"/>
      <c r="I20" s="1124"/>
      <c r="J20" s="171"/>
      <c r="K20" s="171">
        <f t="shared" si="8"/>
        <v>0</v>
      </c>
      <c r="L20" s="171">
        <f>10928.474+12447.25</f>
        <v>23375.724000000002</v>
      </c>
      <c r="M20" s="1125">
        <v>0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54"/>
      <c r="X20" s="154"/>
      <c r="Y20" s="154"/>
      <c r="Z20" s="171">
        <f>'841126-Finanszírozási műveletek'!D16</f>
        <v>213346.15594000003</v>
      </c>
      <c r="AA20" s="174">
        <f>Z20</f>
        <v>213346.15594000003</v>
      </c>
      <c r="AB20" s="174"/>
      <c r="AC20" s="1128">
        <f>AB20/AA20</f>
        <v>0</v>
      </c>
      <c r="AD20" s="174"/>
      <c r="AE20" s="174"/>
      <c r="AF20" s="174"/>
      <c r="AG20" s="174"/>
      <c r="AH20" s="174">
        <f t="shared" si="5"/>
        <v>213346.15594000003</v>
      </c>
      <c r="AI20" s="174">
        <f t="shared" si="6"/>
        <v>213346.15594000003</v>
      </c>
      <c r="AJ20" s="174">
        <f t="shared" si="7"/>
        <v>23375.724000000002</v>
      </c>
      <c r="AK20" s="1128">
        <f t="shared" si="1"/>
        <v>0.10956712061207247</v>
      </c>
      <c r="AL20" s="175"/>
      <c r="AM20" s="176"/>
      <c r="AN20" s="175"/>
      <c r="AO20" s="1129"/>
    </row>
    <row r="21" spans="1:41" ht="14.25" customHeight="1">
      <c r="A21" s="145" t="s">
        <v>1489</v>
      </c>
      <c r="B21" s="171"/>
      <c r="C21" s="171"/>
      <c r="D21" s="171"/>
      <c r="E21" s="1124"/>
      <c r="F21" s="171"/>
      <c r="G21" s="171"/>
      <c r="H21" s="171"/>
      <c r="I21" s="1124"/>
      <c r="J21" s="171">
        <f>'680001-Lakásgazd. '!E27</f>
        <v>16378.86</v>
      </c>
      <c r="K21" s="171">
        <f t="shared" si="8"/>
        <v>16378.86</v>
      </c>
      <c r="L21" s="171">
        <v>7745.858</v>
      </c>
      <c r="M21" s="1125">
        <f t="shared" si="0"/>
        <v>0.47291801749328094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47"/>
      <c r="X21" s="47"/>
      <c r="Y21" s="47"/>
      <c r="Z21" s="171"/>
      <c r="AA21" s="47"/>
      <c r="AB21" s="47"/>
      <c r="AC21" s="47"/>
      <c r="AD21" s="47"/>
      <c r="AE21" s="47"/>
      <c r="AF21" s="174"/>
      <c r="AG21" s="174"/>
      <c r="AH21" s="174">
        <f t="shared" si="5"/>
        <v>16378.86</v>
      </c>
      <c r="AI21" s="174">
        <f t="shared" si="6"/>
        <v>16378.86</v>
      </c>
      <c r="AJ21" s="174">
        <f t="shared" si="7"/>
        <v>7745.858</v>
      </c>
      <c r="AK21" s="1128">
        <f t="shared" si="1"/>
        <v>0.47291801749328094</v>
      </c>
      <c r="AL21" s="175"/>
      <c r="AM21" s="176"/>
      <c r="AN21" s="175"/>
      <c r="AO21" s="1129"/>
    </row>
    <row r="22" spans="1:41" ht="12.75">
      <c r="A22" s="145" t="s">
        <v>269</v>
      </c>
      <c r="B22" s="171"/>
      <c r="C22" s="171"/>
      <c r="D22" s="171"/>
      <c r="E22" s="1124"/>
      <c r="F22" s="171"/>
      <c r="G22" s="171"/>
      <c r="H22" s="171"/>
      <c r="I22" s="1124"/>
      <c r="J22" s="171">
        <f>'842531-Polgári védelem'!E23</f>
        <v>249.82</v>
      </c>
      <c r="K22" s="171">
        <f t="shared" si="8"/>
        <v>249.82</v>
      </c>
      <c r="L22" s="171">
        <v>10.414</v>
      </c>
      <c r="M22" s="1125">
        <f t="shared" si="0"/>
        <v>0.041686013930029624</v>
      </c>
      <c r="N22" s="171"/>
      <c r="O22" s="171"/>
      <c r="P22" s="171"/>
      <c r="Q22" s="171"/>
      <c r="R22" s="171"/>
      <c r="S22" s="171"/>
      <c r="T22" s="171"/>
      <c r="U22" s="171"/>
      <c r="V22" s="171"/>
      <c r="W22" s="47"/>
      <c r="X22" s="47"/>
      <c r="Y22" s="47"/>
      <c r="Z22" s="47"/>
      <c r="AA22" s="47"/>
      <c r="AB22" s="47"/>
      <c r="AC22" s="47"/>
      <c r="AD22" s="47"/>
      <c r="AE22" s="47"/>
      <c r="AF22" s="174"/>
      <c r="AG22" s="174"/>
      <c r="AH22" s="174">
        <f t="shared" si="5"/>
        <v>249.82</v>
      </c>
      <c r="AI22" s="174">
        <f t="shared" si="6"/>
        <v>249.82</v>
      </c>
      <c r="AJ22" s="174">
        <f t="shared" si="7"/>
        <v>10.414</v>
      </c>
      <c r="AK22" s="1128">
        <f t="shared" si="1"/>
        <v>0.041686013930029624</v>
      </c>
      <c r="AL22" s="175"/>
      <c r="AM22" s="176"/>
      <c r="AN22" s="175"/>
      <c r="AO22" s="1129"/>
    </row>
    <row r="23" spans="1:41" ht="12.75">
      <c r="A23" s="272" t="s">
        <v>270</v>
      </c>
      <c r="B23" s="171"/>
      <c r="C23" s="171"/>
      <c r="D23" s="171"/>
      <c r="E23" s="1124"/>
      <c r="F23" s="171"/>
      <c r="G23" s="171"/>
      <c r="H23" s="171"/>
      <c r="I23" s="1124"/>
      <c r="J23" s="171">
        <f>'841403- Városgazdálkodás'!E37</f>
        <v>7506.97</v>
      </c>
      <c r="K23" s="171">
        <f t="shared" si="8"/>
        <v>7506.97</v>
      </c>
      <c r="L23" s="171">
        <v>11338.287</v>
      </c>
      <c r="M23" s="1125">
        <f t="shared" si="0"/>
        <v>1.510367964704801</v>
      </c>
      <c r="N23" s="171"/>
      <c r="O23" s="171"/>
      <c r="P23" s="171"/>
      <c r="Q23" s="171"/>
      <c r="R23" s="171"/>
      <c r="S23" s="171"/>
      <c r="T23" s="171"/>
      <c r="U23" s="171"/>
      <c r="V23" s="171"/>
      <c r="W23" s="47"/>
      <c r="X23" s="47"/>
      <c r="Y23" s="47"/>
      <c r="Z23" s="47"/>
      <c r="AA23" s="47"/>
      <c r="AB23" s="47"/>
      <c r="AC23" s="47"/>
      <c r="AD23" s="47"/>
      <c r="AE23" s="47"/>
      <c r="AF23" s="174"/>
      <c r="AG23" s="174"/>
      <c r="AH23" s="174">
        <f t="shared" si="5"/>
        <v>7506.97</v>
      </c>
      <c r="AI23" s="174">
        <f t="shared" si="6"/>
        <v>7506.97</v>
      </c>
      <c r="AJ23" s="174">
        <f t="shared" si="7"/>
        <v>11338.287</v>
      </c>
      <c r="AK23" s="1128">
        <f t="shared" si="1"/>
        <v>1.510367964704801</v>
      </c>
      <c r="AL23" s="175"/>
      <c r="AM23" s="176"/>
      <c r="AN23" s="175"/>
      <c r="AO23" s="1129"/>
    </row>
    <row r="24" spans="1:41" ht="12.75">
      <c r="A24" s="145" t="s">
        <v>272</v>
      </c>
      <c r="B24" s="171"/>
      <c r="C24" s="171"/>
      <c r="D24" s="171"/>
      <c r="E24" s="1124"/>
      <c r="F24" s="171"/>
      <c r="G24" s="171"/>
      <c r="H24" s="171"/>
      <c r="I24" s="1124"/>
      <c r="J24" s="171">
        <f>'841402-Közvilágítás'!E19</f>
        <v>17101.82</v>
      </c>
      <c r="K24" s="171">
        <f t="shared" si="8"/>
        <v>17101.82</v>
      </c>
      <c r="L24" s="171">
        <v>5098.82</v>
      </c>
      <c r="M24" s="1125">
        <f t="shared" si="0"/>
        <v>0.29814487580853966</v>
      </c>
      <c r="N24" s="171"/>
      <c r="O24" s="171"/>
      <c r="P24" s="171"/>
      <c r="Q24" s="171"/>
      <c r="R24" s="171"/>
      <c r="S24" s="171"/>
      <c r="T24" s="171"/>
      <c r="U24" s="171"/>
      <c r="V24" s="171"/>
      <c r="W24" s="47"/>
      <c r="X24" s="47"/>
      <c r="Y24" s="47"/>
      <c r="Z24" s="47"/>
      <c r="AA24" s="47"/>
      <c r="AB24" s="47"/>
      <c r="AC24" s="47"/>
      <c r="AD24" s="47"/>
      <c r="AE24" s="47"/>
      <c r="AF24" s="174"/>
      <c r="AG24" s="174"/>
      <c r="AH24" s="174">
        <f t="shared" si="5"/>
        <v>17101.82</v>
      </c>
      <c r="AI24" s="174">
        <f t="shared" si="6"/>
        <v>17101.82</v>
      </c>
      <c r="AJ24" s="174">
        <f t="shared" si="7"/>
        <v>5098.82</v>
      </c>
      <c r="AK24" s="1128">
        <f t="shared" si="1"/>
        <v>0.29814487580853966</v>
      </c>
      <c r="AL24" s="175"/>
      <c r="AM24" s="176"/>
      <c r="AN24" s="175"/>
      <c r="AO24" s="1129"/>
    </row>
    <row r="25" spans="1:41" ht="12.75">
      <c r="A25" s="145" t="s">
        <v>273</v>
      </c>
      <c r="B25" s="171"/>
      <c r="C25" s="171"/>
      <c r="D25" s="171"/>
      <c r="E25" s="1124"/>
      <c r="F25" s="171"/>
      <c r="G25" s="171"/>
      <c r="H25" s="171"/>
      <c r="I25" s="1124"/>
      <c r="J25" s="171"/>
      <c r="K25" s="171">
        <f t="shared" si="8"/>
        <v>0</v>
      </c>
      <c r="L25" s="171"/>
      <c r="M25" s="1125"/>
      <c r="N25" s="171"/>
      <c r="O25" s="171"/>
      <c r="P25" s="171"/>
      <c r="Q25" s="171"/>
      <c r="R25" s="171"/>
      <c r="S25" s="171"/>
      <c r="T25" s="171"/>
      <c r="U25" s="171"/>
      <c r="V25" s="171"/>
      <c r="W25" s="179"/>
      <c r="X25" s="179"/>
      <c r="Y25" s="179"/>
      <c r="Z25" s="47"/>
      <c r="AA25" s="47"/>
      <c r="AB25" s="47"/>
      <c r="AC25" s="47"/>
      <c r="AD25" s="47"/>
      <c r="AE25" s="47"/>
      <c r="AF25" s="174"/>
      <c r="AG25" s="174"/>
      <c r="AH25" s="174">
        <f t="shared" si="5"/>
        <v>0</v>
      </c>
      <c r="AI25" s="174">
        <f t="shared" si="6"/>
        <v>0</v>
      </c>
      <c r="AJ25" s="174">
        <f t="shared" si="7"/>
        <v>0</v>
      </c>
      <c r="AK25" s="1128"/>
      <c r="AL25" s="175"/>
      <c r="AM25" s="176"/>
      <c r="AN25" s="175"/>
      <c r="AO25" s="1129"/>
    </row>
    <row r="26" spans="1:41" ht="12.75">
      <c r="A26" s="145" t="s">
        <v>274</v>
      </c>
      <c r="B26" s="171"/>
      <c r="C26" s="171"/>
      <c r="D26" s="171"/>
      <c r="E26" s="1124"/>
      <c r="F26" s="171"/>
      <c r="G26" s="171"/>
      <c r="H26" s="171"/>
      <c r="I26" s="1124"/>
      <c r="J26" s="171"/>
      <c r="K26" s="171">
        <f t="shared" si="8"/>
        <v>0</v>
      </c>
      <c r="L26" s="171"/>
      <c r="M26" s="1125"/>
      <c r="N26" s="171">
        <f>3am!B19</f>
        <v>112136</v>
      </c>
      <c r="O26" s="171">
        <f>3am!C19</f>
        <v>112136</v>
      </c>
      <c r="P26" s="171">
        <f>3am!D19</f>
        <v>53669.229999999996</v>
      </c>
      <c r="Q26" s="1124">
        <f>P26/O26</f>
        <v>0.4786083862452736</v>
      </c>
      <c r="R26" s="171"/>
      <c r="S26" s="171"/>
      <c r="T26" s="171"/>
      <c r="U26" s="171"/>
      <c r="V26" s="171"/>
      <c r="W26" s="47"/>
      <c r="X26" s="47"/>
      <c r="Y26" s="47"/>
      <c r="Z26" s="47"/>
      <c r="AA26" s="47"/>
      <c r="AB26" s="47"/>
      <c r="AC26" s="47"/>
      <c r="AD26" s="47"/>
      <c r="AE26" s="47"/>
      <c r="AF26" s="174"/>
      <c r="AG26" s="174"/>
      <c r="AH26" s="174">
        <f t="shared" si="5"/>
        <v>112136</v>
      </c>
      <c r="AI26" s="174">
        <f t="shared" si="6"/>
        <v>112136</v>
      </c>
      <c r="AJ26" s="174">
        <f t="shared" si="7"/>
        <v>53669.229999999996</v>
      </c>
      <c r="AK26" s="1128">
        <f t="shared" si="1"/>
        <v>0.4786083862452736</v>
      </c>
      <c r="AL26" s="175"/>
      <c r="AM26" s="176"/>
      <c r="AN26" s="175"/>
      <c r="AO26" s="1129"/>
    </row>
    <row r="27" spans="1:41" ht="12.75">
      <c r="A27" s="145" t="s">
        <v>275</v>
      </c>
      <c r="B27" s="171"/>
      <c r="C27" s="171"/>
      <c r="D27" s="171"/>
      <c r="E27" s="1124"/>
      <c r="F27" s="171"/>
      <c r="G27" s="171"/>
      <c r="H27" s="171"/>
      <c r="I27" s="1124"/>
      <c r="J27" s="171"/>
      <c r="K27" s="171">
        <f t="shared" si="8"/>
        <v>0</v>
      </c>
      <c r="L27" s="171"/>
      <c r="M27" s="1125"/>
      <c r="N27" s="171">
        <f>+3am!B31</f>
        <v>10206</v>
      </c>
      <c r="O27" s="171">
        <f>+3am!C31</f>
        <v>10206</v>
      </c>
      <c r="P27" s="171">
        <f>+3am!D31</f>
        <v>4267.619000000001</v>
      </c>
      <c r="Q27" s="1124">
        <f>P27/O27</f>
        <v>0.41814805016656875</v>
      </c>
      <c r="R27" s="171"/>
      <c r="S27" s="171"/>
      <c r="T27" s="171"/>
      <c r="U27" s="171"/>
      <c r="V27" s="171"/>
      <c r="W27" s="47"/>
      <c r="X27" s="47"/>
      <c r="Y27" s="47"/>
      <c r="Z27" s="47"/>
      <c r="AA27" s="47"/>
      <c r="AB27" s="47"/>
      <c r="AC27" s="47"/>
      <c r="AD27" s="47"/>
      <c r="AE27" s="47"/>
      <c r="AF27" s="174"/>
      <c r="AG27" s="174"/>
      <c r="AH27" s="174">
        <f t="shared" si="5"/>
        <v>10206</v>
      </c>
      <c r="AI27" s="174">
        <f t="shared" si="6"/>
        <v>10206</v>
      </c>
      <c r="AJ27" s="174">
        <f t="shared" si="7"/>
        <v>4267.619000000001</v>
      </c>
      <c r="AK27" s="1128">
        <f t="shared" si="1"/>
        <v>0.41814805016656875</v>
      </c>
      <c r="AL27" s="175"/>
      <c r="AM27" s="176"/>
      <c r="AN27" s="175"/>
      <c r="AO27" s="1129"/>
    </row>
    <row r="28" spans="1:41" ht="12.75">
      <c r="A28" s="145" t="s">
        <v>789</v>
      </c>
      <c r="B28" s="171"/>
      <c r="C28" s="171"/>
      <c r="D28" s="171"/>
      <c r="E28" s="1124"/>
      <c r="F28" s="171"/>
      <c r="G28" s="171"/>
      <c r="H28" s="171"/>
      <c r="I28" s="1124"/>
      <c r="J28" s="171">
        <f>'602000-CSTV'!E16</f>
        <v>15322.272</v>
      </c>
      <c r="K28" s="171">
        <f t="shared" si="8"/>
        <v>15322.272</v>
      </c>
      <c r="L28" s="171">
        <v>9072.7</v>
      </c>
      <c r="M28" s="1125">
        <f t="shared" si="0"/>
        <v>0.5921249798985425</v>
      </c>
      <c r="N28" s="171"/>
      <c r="O28" s="171"/>
      <c r="P28" s="171"/>
      <c r="Q28" s="1124"/>
      <c r="R28" s="171"/>
      <c r="S28" s="171"/>
      <c r="T28" s="171"/>
      <c r="U28" s="171"/>
      <c r="V28" s="171"/>
      <c r="W28" s="47"/>
      <c r="X28" s="47"/>
      <c r="Y28" s="47"/>
      <c r="Z28" s="47"/>
      <c r="AA28" s="47"/>
      <c r="AB28" s="47"/>
      <c r="AC28" s="47"/>
      <c r="AD28" s="47"/>
      <c r="AE28" s="47"/>
      <c r="AF28" s="174"/>
      <c r="AG28" s="174"/>
      <c r="AH28" s="174">
        <f t="shared" si="5"/>
        <v>15322.272</v>
      </c>
      <c r="AI28" s="174">
        <f t="shared" si="6"/>
        <v>15322.272</v>
      </c>
      <c r="AJ28" s="174">
        <f t="shared" si="7"/>
        <v>9072.7</v>
      </c>
      <c r="AK28" s="1128">
        <f t="shared" si="1"/>
        <v>0.5921249798985425</v>
      </c>
      <c r="AL28" s="175"/>
      <c r="AM28" s="176"/>
      <c r="AN28" s="175"/>
      <c r="AO28" s="1129"/>
    </row>
    <row r="29" spans="1:41" ht="12.75">
      <c r="A29" s="272" t="s">
        <v>50</v>
      </c>
      <c r="B29" s="171"/>
      <c r="C29" s="171"/>
      <c r="D29" s="171"/>
      <c r="E29" s="1124"/>
      <c r="F29" s="171"/>
      <c r="G29" s="171"/>
      <c r="H29" s="171"/>
      <c r="I29" s="1124"/>
      <c r="J29" s="171"/>
      <c r="K29" s="171">
        <f t="shared" si="8"/>
        <v>0</v>
      </c>
      <c r="L29" s="171">
        <v>11198.6</v>
      </c>
      <c r="M29" s="1125">
        <v>0</v>
      </c>
      <c r="N29" s="171"/>
      <c r="O29" s="171"/>
      <c r="P29" s="171"/>
      <c r="Q29" s="1124"/>
      <c r="R29" s="171"/>
      <c r="S29" s="171"/>
      <c r="T29" s="171"/>
      <c r="U29" s="171"/>
      <c r="V29" s="171"/>
      <c r="W29" s="47"/>
      <c r="X29" s="47"/>
      <c r="Y29" s="47"/>
      <c r="Z29" s="47"/>
      <c r="AA29" s="47"/>
      <c r="AB29" s="47"/>
      <c r="AC29" s="47"/>
      <c r="AD29" s="47"/>
      <c r="AE29" s="47"/>
      <c r="AF29" s="174"/>
      <c r="AG29" s="174"/>
      <c r="AH29" s="174">
        <f t="shared" si="5"/>
        <v>0</v>
      </c>
      <c r="AI29" s="174">
        <f t="shared" si="6"/>
        <v>0</v>
      </c>
      <c r="AJ29" s="174">
        <f t="shared" si="7"/>
        <v>11198.6</v>
      </c>
      <c r="AK29" s="1128"/>
      <c r="AL29" s="175"/>
      <c r="AM29" s="181"/>
      <c r="AN29" s="175"/>
      <c r="AO29" s="1129"/>
    </row>
    <row r="30" spans="1:41" ht="12.75">
      <c r="A30" s="272" t="s">
        <v>334</v>
      </c>
      <c r="B30" s="171"/>
      <c r="C30" s="171"/>
      <c r="D30" s="171"/>
      <c r="E30" s="1124"/>
      <c r="F30" s="171"/>
      <c r="G30" s="171"/>
      <c r="H30" s="171"/>
      <c r="I30" s="1124"/>
      <c r="J30" s="171">
        <f>'841126-116-Önk. igazgatás'!E74</f>
        <v>7949</v>
      </c>
      <c r="K30" s="171">
        <f t="shared" si="8"/>
        <v>7949</v>
      </c>
      <c r="L30" s="171">
        <v>2435.445</v>
      </c>
      <c r="M30" s="1125">
        <f t="shared" si="0"/>
        <v>0.30638382186438545</v>
      </c>
      <c r="N30" s="171"/>
      <c r="O30" s="171"/>
      <c r="P30" s="171"/>
      <c r="Q30" s="1124"/>
      <c r="R30" s="171"/>
      <c r="S30" s="171"/>
      <c r="T30" s="171"/>
      <c r="U30" s="171"/>
      <c r="V30" s="171"/>
      <c r="W30" s="47"/>
      <c r="X30" s="47"/>
      <c r="Y30" s="47"/>
      <c r="Z30" s="47"/>
      <c r="AA30" s="47"/>
      <c r="AB30" s="47"/>
      <c r="AC30" s="47"/>
      <c r="AD30" s="47"/>
      <c r="AE30" s="47"/>
      <c r="AF30" s="174"/>
      <c r="AG30" s="174"/>
      <c r="AH30" s="174">
        <f t="shared" si="5"/>
        <v>7949</v>
      </c>
      <c r="AI30" s="174">
        <f t="shared" si="6"/>
        <v>7949</v>
      </c>
      <c r="AJ30" s="174">
        <f t="shared" si="7"/>
        <v>2435.445</v>
      </c>
      <c r="AK30" s="1128">
        <f t="shared" si="1"/>
        <v>0.30638382186438545</v>
      </c>
      <c r="AL30" s="175"/>
      <c r="AM30" s="181"/>
      <c r="AN30" s="175"/>
      <c r="AO30" s="1129"/>
    </row>
    <row r="31" spans="1:41" ht="12.75">
      <c r="A31" s="272" t="s">
        <v>1324</v>
      </c>
      <c r="B31" s="171">
        <v>2534</v>
      </c>
      <c r="C31" s="171">
        <f>B31</f>
        <v>2534</v>
      </c>
      <c r="D31" s="171">
        <v>0</v>
      </c>
      <c r="E31" s="1124">
        <f>D31/C31</f>
        <v>0</v>
      </c>
      <c r="F31" s="171">
        <v>684</v>
      </c>
      <c r="G31" s="171">
        <f>F31</f>
        <v>684</v>
      </c>
      <c r="H31" s="171">
        <v>0</v>
      </c>
      <c r="I31" s="1124">
        <f>H31/G31</f>
        <v>0</v>
      </c>
      <c r="J31" s="171">
        <v>9955</v>
      </c>
      <c r="K31" s="171">
        <f t="shared" si="8"/>
        <v>9955</v>
      </c>
      <c r="L31" s="171"/>
      <c r="M31" s="1125">
        <f t="shared" si="0"/>
        <v>0</v>
      </c>
      <c r="N31" s="171"/>
      <c r="O31" s="171"/>
      <c r="P31" s="171"/>
      <c r="Q31" s="1124"/>
      <c r="R31" s="171"/>
      <c r="S31" s="171"/>
      <c r="T31" s="171"/>
      <c r="U31" s="171"/>
      <c r="V31" s="171"/>
      <c r="W31" s="47"/>
      <c r="X31" s="47"/>
      <c r="Y31" s="47"/>
      <c r="Z31" s="47"/>
      <c r="AA31" s="47"/>
      <c r="AB31" s="47"/>
      <c r="AC31" s="47"/>
      <c r="AD31" s="47"/>
      <c r="AE31" s="47"/>
      <c r="AF31" s="174"/>
      <c r="AG31" s="174"/>
      <c r="AH31" s="174">
        <f t="shared" si="5"/>
        <v>13173</v>
      </c>
      <c r="AI31" s="174">
        <f t="shared" si="6"/>
        <v>13173</v>
      </c>
      <c r="AJ31" s="174">
        <f t="shared" si="7"/>
        <v>0</v>
      </c>
      <c r="AK31" s="1128">
        <f t="shared" si="1"/>
        <v>0</v>
      </c>
      <c r="AL31" s="175">
        <v>2</v>
      </c>
      <c r="AM31" s="175">
        <v>2</v>
      </c>
      <c r="AN31" s="175">
        <v>2</v>
      </c>
      <c r="AO31" s="1129">
        <f>AN31/AM31</f>
        <v>1</v>
      </c>
    </row>
    <row r="32" spans="1:41" ht="12.75">
      <c r="A32" s="272" t="s">
        <v>1325</v>
      </c>
      <c r="B32" s="171">
        <v>17530</v>
      </c>
      <c r="C32" s="171">
        <f>B32</f>
        <v>17530</v>
      </c>
      <c r="D32" s="171">
        <v>11455.488</v>
      </c>
      <c r="E32" s="1124">
        <f>D32/C32</f>
        <v>0.6534790644609241</v>
      </c>
      <c r="F32" s="171">
        <v>4704</v>
      </c>
      <c r="G32" s="171">
        <f>F32</f>
        <v>4704</v>
      </c>
      <c r="H32" s="171">
        <v>2084.958</v>
      </c>
      <c r="I32" s="1124">
        <f>H32/G32</f>
        <v>0.4432308673469388</v>
      </c>
      <c r="J32" s="171">
        <v>29287</v>
      </c>
      <c r="K32" s="171">
        <f t="shared" si="8"/>
        <v>29287</v>
      </c>
      <c r="L32" s="171">
        <v>14290.736</v>
      </c>
      <c r="M32" s="1125">
        <f t="shared" si="0"/>
        <v>0.48795492880800356</v>
      </c>
      <c r="N32" s="171"/>
      <c r="O32" s="171"/>
      <c r="P32" s="171"/>
      <c r="Q32" s="1124"/>
      <c r="R32" s="171"/>
      <c r="S32" s="171"/>
      <c r="T32" s="171"/>
      <c r="U32" s="171"/>
      <c r="V32" s="171"/>
      <c r="W32" s="47"/>
      <c r="X32" s="47"/>
      <c r="Y32" s="47"/>
      <c r="Z32" s="47"/>
      <c r="AA32" s="47"/>
      <c r="AB32" s="47"/>
      <c r="AC32" s="47"/>
      <c r="AD32" s="47"/>
      <c r="AE32" s="47"/>
      <c r="AF32" s="174"/>
      <c r="AG32" s="174"/>
      <c r="AH32" s="174">
        <f t="shared" si="5"/>
        <v>51521</v>
      </c>
      <c r="AI32" s="174">
        <f t="shared" si="6"/>
        <v>51521</v>
      </c>
      <c r="AJ32" s="174">
        <f t="shared" si="7"/>
        <v>27831.182</v>
      </c>
      <c r="AK32" s="1128">
        <f t="shared" si="1"/>
        <v>0.5401910289008366</v>
      </c>
      <c r="AL32" s="175">
        <v>13</v>
      </c>
      <c r="AM32" s="175">
        <v>13</v>
      </c>
      <c r="AN32" s="175">
        <v>13</v>
      </c>
      <c r="AO32" s="1129">
        <f>AN32/AM32</f>
        <v>1</v>
      </c>
    </row>
    <row r="33" spans="1:41" ht="12.75">
      <c r="A33" s="272" t="s">
        <v>1329</v>
      </c>
      <c r="B33" s="171"/>
      <c r="C33" s="171"/>
      <c r="D33" s="171"/>
      <c r="E33" s="1124"/>
      <c r="F33" s="171"/>
      <c r="G33" s="171"/>
      <c r="H33" s="171"/>
      <c r="I33" s="1124"/>
      <c r="J33" s="171">
        <v>4239</v>
      </c>
      <c r="K33" s="171">
        <f t="shared" si="8"/>
        <v>4239</v>
      </c>
      <c r="L33" s="171">
        <v>0</v>
      </c>
      <c r="M33" s="1125">
        <f t="shared" si="0"/>
        <v>0</v>
      </c>
      <c r="N33" s="171"/>
      <c r="O33" s="171"/>
      <c r="P33" s="171"/>
      <c r="Q33" s="1124"/>
      <c r="R33" s="171"/>
      <c r="S33" s="171"/>
      <c r="T33" s="171"/>
      <c r="U33" s="171"/>
      <c r="V33" s="171"/>
      <c r="W33" s="47"/>
      <c r="X33" s="47"/>
      <c r="Y33" s="47"/>
      <c r="Z33" s="47"/>
      <c r="AA33" s="47"/>
      <c r="AB33" s="47"/>
      <c r="AC33" s="47"/>
      <c r="AD33" s="47"/>
      <c r="AE33" s="47"/>
      <c r="AF33" s="174"/>
      <c r="AG33" s="174"/>
      <c r="AH33" s="174">
        <f t="shared" si="5"/>
        <v>4239</v>
      </c>
      <c r="AI33" s="174">
        <f t="shared" si="6"/>
        <v>4239</v>
      </c>
      <c r="AJ33" s="174">
        <f t="shared" si="7"/>
        <v>0</v>
      </c>
      <c r="AK33" s="1128">
        <f t="shared" si="1"/>
        <v>0</v>
      </c>
      <c r="AL33" s="175"/>
      <c r="AM33" s="181"/>
      <c r="AN33" s="175"/>
      <c r="AO33" s="1129"/>
    </row>
    <row r="34" spans="1:41" ht="12.75">
      <c r="A34" s="14" t="s">
        <v>1330</v>
      </c>
      <c r="B34" s="171"/>
      <c r="C34" s="171"/>
      <c r="D34" s="171"/>
      <c r="E34" s="1124"/>
      <c r="F34" s="171"/>
      <c r="G34" s="171"/>
      <c r="H34" s="171"/>
      <c r="I34" s="1124"/>
      <c r="J34" s="171">
        <v>19214</v>
      </c>
      <c r="K34" s="171">
        <f t="shared" si="8"/>
        <v>19214</v>
      </c>
      <c r="L34" s="171">
        <v>0</v>
      </c>
      <c r="M34" s="1125">
        <f t="shared" si="0"/>
        <v>0</v>
      </c>
      <c r="N34" s="171"/>
      <c r="O34" s="171"/>
      <c r="P34" s="171"/>
      <c r="Q34" s="1124"/>
      <c r="R34" s="171"/>
      <c r="S34" s="171"/>
      <c r="T34" s="171"/>
      <c r="U34" s="171"/>
      <c r="V34" s="171"/>
      <c r="W34" s="47"/>
      <c r="X34" s="47"/>
      <c r="Y34" s="47"/>
      <c r="Z34" s="47"/>
      <c r="AA34" s="47"/>
      <c r="AB34" s="47"/>
      <c r="AC34" s="47"/>
      <c r="AD34" s="47"/>
      <c r="AE34" s="47"/>
      <c r="AF34" s="174"/>
      <c r="AG34" s="174"/>
      <c r="AH34" s="174">
        <f t="shared" si="5"/>
        <v>19214</v>
      </c>
      <c r="AI34" s="174">
        <f t="shared" si="6"/>
        <v>19214</v>
      </c>
      <c r="AJ34" s="174">
        <f t="shared" si="7"/>
        <v>0</v>
      </c>
      <c r="AK34" s="1128">
        <f t="shared" si="1"/>
        <v>0</v>
      </c>
      <c r="AL34" s="175"/>
      <c r="AM34" s="181"/>
      <c r="AN34" s="175"/>
      <c r="AO34" s="1129"/>
    </row>
    <row r="35" spans="1:41" ht="12.75">
      <c r="A35" s="14" t="s">
        <v>1331</v>
      </c>
      <c r="B35" s="171"/>
      <c r="C35" s="171"/>
      <c r="D35" s="171"/>
      <c r="E35" s="1124"/>
      <c r="F35" s="171"/>
      <c r="G35" s="171"/>
      <c r="H35" s="171"/>
      <c r="I35" s="1124"/>
      <c r="J35" s="171">
        <v>962</v>
      </c>
      <c r="K35" s="171">
        <f t="shared" si="8"/>
        <v>962</v>
      </c>
      <c r="L35" s="171">
        <v>0</v>
      </c>
      <c r="M35" s="1125">
        <f t="shared" si="0"/>
        <v>0</v>
      </c>
      <c r="N35" s="171"/>
      <c r="O35" s="171"/>
      <c r="P35" s="171"/>
      <c r="Q35" s="1124"/>
      <c r="R35" s="171"/>
      <c r="S35" s="171"/>
      <c r="T35" s="171"/>
      <c r="U35" s="171"/>
      <c r="V35" s="171"/>
      <c r="W35" s="47"/>
      <c r="X35" s="47"/>
      <c r="Y35" s="47"/>
      <c r="Z35" s="47"/>
      <c r="AA35" s="47"/>
      <c r="AB35" s="47"/>
      <c r="AC35" s="47"/>
      <c r="AD35" s="47"/>
      <c r="AE35" s="47"/>
      <c r="AF35" s="174"/>
      <c r="AG35" s="174"/>
      <c r="AH35" s="174">
        <f t="shared" si="5"/>
        <v>962</v>
      </c>
      <c r="AI35" s="174">
        <f t="shared" si="6"/>
        <v>962</v>
      </c>
      <c r="AJ35" s="174">
        <f t="shared" si="7"/>
        <v>0</v>
      </c>
      <c r="AK35" s="1128">
        <f t="shared" si="1"/>
        <v>0</v>
      </c>
      <c r="AL35" s="175"/>
      <c r="AM35" s="181"/>
      <c r="AN35" s="175"/>
      <c r="AO35" s="1129"/>
    </row>
    <row r="36" spans="1:41" ht="12.75">
      <c r="A36" s="14" t="s">
        <v>1519</v>
      </c>
      <c r="B36" s="171">
        <v>0</v>
      </c>
      <c r="C36" s="171">
        <v>4606</v>
      </c>
      <c r="D36" s="171">
        <v>0</v>
      </c>
      <c r="E36" s="1124">
        <f>D36/C36</f>
        <v>0</v>
      </c>
      <c r="F36" s="171">
        <v>0</v>
      </c>
      <c r="G36" s="171">
        <v>1232</v>
      </c>
      <c r="H36" s="171">
        <v>0</v>
      </c>
      <c r="I36" s="1124">
        <f>H36/G36</f>
        <v>0</v>
      </c>
      <c r="J36" s="171">
        <v>0</v>
      </c>
      <c r="K36" s="171">
        <f>8092+6556</f>
        <v>14648</v>
      </c>
      <c r="L36" s="171">
        <v>2.585</v>
      </c>
      <c r="M36" s="1125">
        <f t="shared" si="0"/>
        <v>0.00017647460404150738</v>
      </c>
      <c r="N36" s="171"/>
      <c r="O36" s="171"/>
      <c r="P36" s="171"/>
      <c r="Q36" s="1124"/>
      <c r="R36" s="171"/>
      <c r="S36" s="171"/>
      <c r="T36" s="171"/>
      <c r="U36" s="171"/>
      <c r="V36" s="171"/>
      <c r="W36" s="47"/>
      <c r="X36" s="47"/>
      <c r="Y36" s="47"/>
      <c r="Z36" s="47"/>
      <c r="AA36" s="47"/>
      <c r="AB36" s="47"/>
      <c r="AC36" s="47"/>
      <c r="AD36" s="47"/>
      <c r="AE36" s="47"/>
      <c r="AF36" s="174"/>
      <c r="AG36" s="174"/>
      <c r="AH36" s="174">
        <f t="shared" si="5"/>
        <v>0</v>
      </c>
      <c r="AI36" s="174">
        <f t="shared" si="6"/>
        <v>20486</v>
      </c>
      <c r="AJ36" s="174">
        <f t="shared" si="7"/>
        <v>2.585</v>
      </c>
      <c r="AK36" s="1128">
        <f t="shared" si="1"/>
        <v>0.00012618373523381823</v>
      </c>
      <c r="AL36" s="175">
        <v>0</v>
      </c>
      <c r="AM36" s="181">
        <v>6</v>
      </c>
      <c r="AN36" s="175">
        <v>5</v>
      </c>
      <c r="AO36" s="1129">
        <f>AN36/AM36</f>
        <v>0.8333333333333334</v>
      </c>
    </row>
    <row r="37" spans="1:41" ht="12.75">
      <c r="A37" s="14" t="s">
        <v>1568</v>
      </c>
      <c r="B37" s="171"/>
      <c r="C37" s="171"/>
      <c r="D37" s="171"/>
      <c r="E37" s="1124"/>
      <c r="F37" s="171"/>
      <c r="G37" s="171"/>
      <c r="H37" s="171"/>
      <c r="I37" s="1124"/>
      <c r="J37" s="171"/>
      <c r="K37" s="171"/>
      <c r="L37" s="171"/>
      <c r="M37" s="1125"/>
      <c r="N37" s="171"/>
      <c r="O37" s="171"/>
      <c r="P37" s="171"/>
      <c r="Q37" s="1124"/>
      <c r="R37" s="171"/>
      <c r="S37" s="171"/>
      <c r="T37" s="171"/>
      <c r="U37" s="171"/>
      <c r="V37" s="171">
        <v>0</v>
      </c>
      <c r="W37" s="47">
        <v>0</v>
      </c>
      <c r="X37" s="47">
        <v>3000</v>
      </c>
      <c r="Y37" s="1127">
        <v>0</v>
      </c>
      <c r="Z37" s="47"/>
      <c r="AA37" s="47"/>
      <c r="AB37" s="47"/>
      <c r="AC37" s="47"/>
      <c r="AD37" s="47"/>
      <c r="AE37" s="47"/>
      <c r="AF37" s="174"/>
      <c r="AG37" s="174"/>
      <c r="AH37" s="174"/>
      <c r="AI37" s="174"/>
      <c r="AJ37" s="174"/>
      <c r="AK37" s="1128"/>
      <c r="AL37" s="175"/>
      <c r="AM37" s="181"/>
      <c r="AN37" s="175"/>
      <c r="AO37" s="1129"/>
    </row>
    <row r="38" spans="1:41" ht="12.75">
      <c r="A38" s="14" t="s">
        <v>1569</v>
      </c>
      <c r="B38" s="171"/>
      <c r="C38" s="171"/>
      <c r="D38" s="171"/>
      <c r="E38" s="1124"/>
      <c r="F38" s="171"/>
      <c r="G38" s="171"/>
      <c r="H38" s="171"/>
      <c r="I38" s="1124"/>
      <c r="J38" s="171"/>
      <c r="K38" s="171"/>
      <c r="L38" s="171"/>
      <c r="M38" s="1125"/>
      <c r="N38" s="171"/>
      <c r="O38" s="171"/>
      <c r="P38" s="171"/>
      <c r="Q38" s="1124"/>
      <c r="R38" s="171"/>
      <c r="S38" s="171"/>
      <c r="T38" s="171"/>
      <c r="U38" s="171"/>
      <c r="V38" s="171"/>
      <c r="W38" s="47"/>
      <c r="X38" s="47">
        <v>4000</v>
      </c>
      <c r="Y38" s="1127">
        <v>0</v>
      </c>
      <c r="Z38" s="47"/>
      <c r="AA38" s="47"/>
      <c r="AB38" s="47"/>
      <c r="AC38" s="47"/>
      <c r="AD38" s="47"/>
      <c r="AE38" s="47"/>
      <c r="AF38" s="174"/>
      <c r="AG38" s="174"/>
      <c r="AH38" s="174"/>
      <c r="AI38" s="174"/>
      <c r="AJ38" s="174"/>
      <c r="AK38" s="1128"/>
      <c r="AL38" s="175"/>
      <c r="AM38" s="181"/>
      <c r="AN38" s="175"/>
      <c r="AO38" s="1129"/>
    </row>
    <row r="39" spans="1:41" ht="12.75">
      <c r="A39" s="14" t="s">
        <v>1554</v>
      </c>
      <c r="B39" s="171"/>
      <c r="C39" s="171"/>
      <c r="D39" s="171"/>
      <c r="E39" s="1124"/>
      <c r="F39" s="171"/>
      <c r="G39" s="171"/>
      <c r="H39" s="171"/>
      <c r="I39" s="1124"/>
      <c r="J39" s="171">
        <v>0</v>
      </c>
      <c r="K39" s="171">
        <v>0</v>
      </c>
      <c r="L39" s="171">
        <v>3954.639</v>
      </c>
      <c r="M39" s="1125">
        <v>0</v>
      </c>
      <c r="N39" s="171"/>
      <c r="O39" s="171"/>
      <c r="P39" s="171"/>
      <c r="Q39" s="1124"/>
      <c r="R39" s="171"/>
      <c r="S39" s="171"/>
      <c r="T39" s="171"/>
      <c r="U39" s="171"/>
      <c r="V39" s="171"/>
      <c r="W39" s="47"/>
      <c r="X39" s="47"/>
      <c r="Y39" s="47"/>
      <c r="Z39" s="47"/>
      <c r="AA39" s="47"/>
      <c r="AB39" s="47"/>
      <c r="AC39" s="47"/>
      <c r="AD39" s="47"/>
      <c r="AE39" s="47"/>
      <c r="AF39" s="174"/>
      <c r="AG39" s="174"/>
      <c r="AH39" s="174"/>
      <c r="AI39" s="174"/>
      <c r="AJ39" s="174"/>
      <c r="AK39" s="1128"/>
      <c r="AL39" s="175"/>
      <c r="AM39" s="181"/>
      <c r="AN39" s="6"/>
      <c r="AO39" s="1129"/>
    </row>
    <row r="40" spans="1:41" s="10" customFormat="1" ht="12.75">
      <c r="A40" s="53" t="s">
        <v>1354</v>
      </c>
      <c r="B40" s="182">
        <f>SUM(B15:B36)</f>
        <v>153518</v>
      </c>
      <c r="C40" s="182">
        <f>SUM(C15:C36)</f>
        <v>158124</v>
      </c>
      <c r="D40" s="182">
        <f>SUM(D15:D36)</f>
        <v>68142.398</v>
      </c>
      <c r="E40" s="1466">
        <f>D40/C40</f>
        <v>0.43094279173307026</v>
      </c>
      <c r="F40" s="182">
        <f>SUM(F15:F36)</f>
        <v>25849.96</v>
      </c>
      <c r="G40" s="182">
        <f>SUM(G15:G36)</f>
        <v>27081.96</v>
      </c>
      <c r="H40" s="182">
        <f>SUM(H15:H36)</f>
        <v>10802.345</v>
      </c>
      <c r="I40" s="1124">
        <f>H40/G40</f>
        <v>0.39887604146819505</v>
      </c>
      <c r="J40" s="182">
        <f>SUM(J15:J36)+1</f>
        <v>164500.352</v>
      </c>
      <c r="K40" s="182">
        <f>SUM(K15:K36)+1</f>
        <v>179148.352</v>
      </c>
      <c r="L40" s="182">
        <f>SUM(L15:L39)</f>
        <v>122886.88100000002</v>
      </c>
      <c r="M40" s="1126">
        <f t="shared" si="0"/>
        <v>0.6859503848519913</v>
      </c>
      <c r="N40" s="182">
        <f>SUM(N15:N36)</f>
        <v>122342</v>
      </c>
      <c r="O40" s="182">
        <f>SUM(O15:O36)</f>
        <v>122342</v>
      </c>
      <c r="P40" s="182">
        <f>SUM(P15:P36)</f>
        <v>57936.848999999995</v>
      </c>
      <c r="Q40" s="1124">
        <f>P40/O40</f>
        <v>0.47356467116771017</v>
      </c>
      <c r="R40" s="182">
        <f>SUM(R15:R36)</f>
        <v>12342</v>
      </c>
      <c r="S40" s="182">
        <f>SUM(S15:S36)</f>
        <v>8402</v>
      </c>
      <c r="T40" s="182">
        <f>SUM(T15:T36)</f>
        <v>6926.798</v>
      </c>
      <c r="U40" s="1126">
        <f>T40/S40</f>
        <v>0.8244225184479885</v>
      </c>
      <c r="V40" s="182">
        <f>SUM(V15:V36)</f>
        <v>89611</v>
      </c>
      <c r="W40" s="182">
        <f>SUM(W15:W36)</f>
        <v>82939</v>
      </c>
      <c r="X40" s="182">
        <f>SUM(X15:X39)</f>
        <v>44321.172999999995</v>
      </c>
      <c r="Y40" s="1126">
        <f>X40/W40</f>
        <v>0.534382775292685</v>
      </c>
      <c r="Z40" s="182">
        <f>SUM(Z15:Z36)</f>
        <v>213346.15594000003</v>
      </c>
      <c r="AA40" s="182">
        <f>SUM(AA15:AA36)</f>
        <v>213346.15594000003</v>
      </c>
      <c r="AB40" s="182">
        <f>SUM(AB15:AB36)</f>
        <v>0</v>
      </c>
      <c r="AC40" s="1126">
        <f>AB40/AA40</f>
        <v>0</v>
      </c>
      <c r="AD40" s="182">
        <f>SUM(AD15:AD36)</f>
        <v>0</v>
      </c>
      <c r="AE40" s="182">
        <f>SUM(AE15:AE36)</f>
        <v>0</v>
      </c>
      <c r="AF40" s="182">
        <f>SUM(AF15:AF36)</f>
        <v>0</v>
      </c>
      <c r="AG40" s="868"/>
      <c r="AH40" s="868">
        <f t="shared" si="5"/>
        <v>781509.4679400001</v>
      </c>
      <c r="AI40" s="868">
        <f t="shared" si="6"/>
        <v>791383.4679400001</v>
      </c>
      <c r="AJ40" s="868">
        <f t="shared" si="7"/>
        <v>311016.444</v>
      </c>
      <c r="AK40" s="1128">
        <f t="shared" si="1"/>
        <v>0.39300346368061884</v>
      </c>
      <c r="AL40" s="183">
        <f>SUM(AL15:AL36)</f>
        <v>144</v>
      </c>
      <c r="AM40" s="183">
        <f>SUM(AM15:AM36)</f>
        <v>150</v>
      </c>
      <c r="AN40" s="183">
        <f>SUM(AN15:AN36)</f>
        <v>147.6</v>
      </c>
      <c r="AO40" s="1112">
        <f>AN40/AM40</f>
        <v>0.984</v>
      </c>
    </row>
    <row r="41" spans="1:41" ht="12.75">
      <c r="A41" s="184"/>
      <c r="B41" s="185"/>
      <c r="C41" s="185"/>
      <c r="D41" s="185"/>
      <c r="E41" s="1124"/>
      <c r="F41" s="185"/>
      <c r="G41" s="185"/>
      <c r="H41" s="185"/>
      <c r="I41" s="1124"/>
      <c r="J41" s="185"/>
      <c r="K41" s="185"/>
      <c r="L41" s="185"/>
      <c r="M41" s="1125"/>
      <c r="N41" s="185"/>
      <c r="O41" s="185"/>
      <c r="P41" s="185"/>
      <c r="Q41" s="1124"/>
      <c r="R41" s="185"/>
      <c r="S41" s="185"/>
      <c r="T41" s="185"/>
      <c r="U41" s="1126"/>
      <c r="V41" s="185"/>
      <c r="W41" s="185"/>
      <c r="X41" s="185"/>
      <c r="Y41" s="1126"/>
      <c r="Z41" s="185"/>
      <c r="AA41" s="185"/>
      <c r="AB41" s="185"/>
      <c r="AC41" s="1126"/>
      <c r="AD41" s="185"/>
      <c r="AE41" s="185"/>
      <c r="AF41" s="185"/>
      <c r="AG41" s="185"/>
      <c r="AH41" s="411"/>
      <c r="AI41" s="185"/>
      <c r="AJ41" s="185"/>
      <c r="AK41" s="1128"/>
      <c r="AL41" s="186"/>
      <c r="AM41" s="187"/>
      <c r="AN41" s="6"/>
      <c r="AO41" s="1129"/>
    </row>
    <row r="42" spans="1:41" s="10" customFormat="1" ht="36">
      <c r="A42" s="867" t="s">
        <v>1141</v>
      </c>
      <c r="B42" s="182">
        <f>B14+B40</f>
        <v>250983</v>
      </c>
      <c r="C42" s="182">
        <f aca="true" t="shared" si="9" ref="C42:AN42">C14+C40</f>
        <v>255589</v>
      </c>
      <c r="D42" s="182">
        <f t="shared" si="9"/>
        <v>115327.30799999999</v>
      </c>
      <c r="E42" s="1124">
        <f>D42/C42</f>
        <v>0.4512217192445684</v>
      </c>
      <c r="F42" s="182">
        <f t="shared" si="9"/>
        <v>50479.09</v>
      </c>
      <c r="G42" s="182">
        <f t="shared" si="9"/>
        <v>51711.09</v>
      </c>
      <c r="H42" s="182">
        <f t="shared" si="9"/>
        <v>22966.463</v>
      </c>
      <c r="I42" s="1124">
        <f>H42/G42</f>
        <v>0.44413032098143745</v>
      </c>
      <c r="J42" s="182">
        <f t="shared" si="9"/>
        <v>195665.462</v>
      </c>
      <c r="K42" s="182">
        <f t="shared" si="9"/>
        <v>210313.462</v>
      </c>
      <c r="L42" s="182">
        <f t="shared" si="9"/>
        <v>139054.06900000002</v>
      </c>
      <c r="M42" s="1125">
        <f t="shared" si="0"/>
        <v>0.6611753126863559</v>
      </c>
      <c r="N42" s="182">
        <f t="shared" si="9"/>
        <v>122342</v>
      </c>
      <c r="O42" s="182">
        <f t="shared" si="9"/>
        <v>122342</v>
      </c>
      <c r="P42" s="182">
        <f t="shared" si="9"/>
        <v>57936.848999999995</v>
      </c>
      <c r="Q42" s="1124">
        <f>P42/O42</f>
        <v>0.47356467116771017</v>
      </c>
      <c r="R42" s="182">
        <f t="shared" si="9"/>
        <v>12342</v>
      </c>
      <c r="S42" s="182">
        <f t="shared" si="9"/>
        <v>8402</v>
      </c>
      <c r="T42" s="182">
        <f t="shared" si="9"/>
        <v>6926.798</v>
      </c>
      <c r="U42" s="1126">
        <f>T42/S42</f>
        <v>0.8244225184479885</v>
      </c>
      <c r="V42" s="182">
        <f t="shared" si="9"/>
        <v>89611</v>
      </c>
      <c r="W42" s="182">
        <f t="shared" si="9"/>
        <v>82939</v>
      </c>
      <c r="X42" s="182">
        <f t="shared" si="9"/>
        <v>44321.172999999995</v>
      </c>
      <c r="Y42" s="1126">
        <f>X42/W42</f>
        <v>0.534382775292685</v>
      </c>
      <c r="Z42" s="182">
        <f t="shared" si="9"/>
        <v>213346.15594000003</v>
      </c>
      <c r="AA42" s="182">
        <f t="shared" si="9"/>
        <v>213346.15594000003</v>
      </c>
      <c r="AB42" s="182">
        <f t="shared" si="9"/>
        <v>0</v>
      </c>
      <c r="AC42" s="1126">
        <f>AB42/AA42</f>
        <v>0</v>
      </c>
      <c r="AD42" s="182">
        <f t="shared" si="9"/>
        <v>0</v>
      </c>
      <c r="AE42" s="182">
        <f t="shared" si="9"/>
        <v>0</v>
      </c>
      <c r="AF42" s="182">
        <f t="shared" si="9"/>
        <v>0</v>
      </c>
      <c r="AG42" s="182"/>
      <c r="AH42" s="182">
        <f>AH14+AH40-1</f>
        <v>934767.7079400001</v>
      </c>
      <c r="AI42" s="182">
        <f>AI14+AI40-1</f>
        <v>944641.7079400001</v>
      </c>
      <c r="AJ42" s="182">
        <f>AJ14+AJ40</f>
        <v>386532.66000000003</v>
      </c>
      <c r="AK42" s="1128">
        <f t="shared" si="1"/>
        <v>0.40918441007958445</v>
      </c>
      <c r="AL42" s="884">
        <f t="shared" si="9"/>
        <v>186</v>
      </c>
      <c r="AM42" s="884">
        <f t="shared" si="9"/>
        <v>192</v>
      </c>
      <c r="AN42" s="884">
        <f t="shared" si="9"/>
        <v>184.6</v>
      </c>
      <c r="AO42" s="1126">
        <f>AN42/AM42</f>
        <v>0.9614583333333333</v>
      </c>
    </row>
  </sheetData>
  <sheetProtection/>
  <mergeCells count="16">
    <mergeCell ref="A8:AO9"/>
    <mergeCell ref="R6:U6"/>
    <mergeCell ref="R5:Y5"/>
    <mergeCell ref="V6:Y6"/>
    <mergeCell ref="Z5:AC6"/>
    <mergeCell ref="AD5:AG6"/>
    <mergeCell ref="AH5:AK6"/>
    <mergeCell ref="B5:E6"/>
    <mergeCell ref="F5:I6"/>
    <mergeCell ref="AN1:AO1"/>
    <mergeCell ref="A5:A7"/>
    <mergeCell ref="A2:AL2"/>
    <mergeCell ref="J5:M6"/>
    <mergeCell ref="N5:Q6"/>
    <mergeCell ref="A3:AO3"/>
    <mergeCell ref="AL5:AO6"/>
  </mergeCells>
  <printOptions/>
  <pageMargins left="0.7874015748031497" right="0.7874015748031497" top="1.1811023622047245" bottom="0.7874015748031497" header="0" footer="0"/>
  <pageSetup horizontalDpi="600" verticalDpi="600" orientation="landscape" paperSize="8" scale="4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G37"/>
  <sheetViews>
    <sheetView view="pageBreakPreview" zoomScaleNormal="85" zoomScaleSheetLayoutView="100" zoomScalePageLayoutView="0" workbookViewId="0" topLeftCell="A10">
      <selection activeCell="E38" sqref="E38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1403" t="s">
        <v>174</v>
      </c>
      <c r="B1" s="1427"/>
    </row>
    <row r="2" spans="1:2" ht="24" customHeight="1">
      <c r="A2" s="1284" t="s">
        <v>386</v>
      </c>
      <c r="B2" s="1381"/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65"/>
      <c r="B6" s="65"/>
      <c r="C6" s="66"/>
      <c r="D6" s="66"/>
      <c r="E6" s="66"/>
    </row>
    <row r="7" spans="1:5" ht="15.75">
      <c r="A7" s="1379" t="s">
        <v>1484</v>
      </c>
      <c r="B7" s="1379"/>
      <c r="C7" s="1379"/>
      <c r="D7" s="1379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5.75">
      <c r="A10" s="1379" t="s">
        <v>981</v>
      </c>
      <c r="B10" s="1379"/>
      <c r="C10" s="1379"/>
      <c r="D10" s="1379"/>
      <c r="E10" s="67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2.75">
      <c r="A13" s="1217" t="s">
        <v>1487</v>
      </c>
      <c r="B13" s="1217"/>
      <c r="C13" s="1217"/>
      <c r="D13" s="1217"/>
      <c r="E13" s="1217"/>
    </row>
    <row r="15" spans="1:5" ht="15.75">
      <c r="A15" s="1379" t="s">
        <v>162</v>
      </c>
      <c r="B15" s="1379"/>
      <c r="C15" s="1379"/>
      <c r="D15" s="1379"/>
      <c r="E15" s="71"/>
    </row>
    <row r="16" spans="1:5" ht="15.75">
      <c r="A16" s="78"/>
      <c r="B16" s="78"/>
      <c r="C16" s="78"/>
      <c r="D16" s="78"/>
      <c r="E16" s="79"/>
    </row>
    <row r="17" spans="1:5" ht="12.75">
      <c r="A17" s="1217" t="s">
        <v>190</v>
      </c>
      <c r="B17" s="1217"/>
      <c r="C17" s="1217"/>
      <c r="D17" s="1217"/>
      <c r="E17" s="1217"/>
    </row>
    <row r="19" spans="1:5" ht="15.75">
      <c r="A19" s="1379" t="s">
        <v>158</v>
      </c>
      <c r="B19" s="1379"/>
      <c r="C19" s="1379"/>
      <c r="D19" s="1379"/>
      <c r="E19" s="76"/>
    </row>
    <row r="20" spans="1:5" ht="15.75">
      <c r="A20" s="78"/>
      <c r="B20" s="78"/>
      <c r="C20" s="78"/>
      <c r="D20" s="78"/>
      <c r="E20" s="80"/>
    </row>
    <row r="21" spans="1:5" ht="12.75">
      <c r="A21" s="32" t="s">
        <v>390</v>
      </c>
      <c r="B21" s="1217" t="s">
        <v>184</v>
      </c>
      <c r="C21" s="1217"/>
      <c r="D21" s="1217"/>
      <c r="E21" s="1217"/>
    </row>
    <row r="22" spans="1:5" s="23" customFormat="1" ht="12.75">
      <c r="A22" s="546" t="s">
        <v>389</v>
      </c>
      <c r="B22" s="327" t="s">
        <v>1084</v>
      </c>
      <c r="C22" s="547">
        <f>SUM(C23:C23)</f>
        <v>18000000</v>
      </c>
      <c r="D22" s="547">
        <f>+ROUND(C22,-3)</f>
        <v>18000000</v>
      </c>
      <c r="E22" s="87">
        <f>+D22/1000</f>
        <v>18000</v>
      </c>
    </row>
    <row r="23" spans="1:5" s="23" customFormat="1" ht="12.75">
      <c r="A23" s="548"/>
      <c r="B23" s="263" t="s">
        <v>859</v>
      </c>
      <c r="C23" s="547">
        <f>300*5000*12</f>
        <v>18000000</v>
      </c>
      <c r="D23" s="547"/>
      <c r="E23" s="547"/>
    </row>
    <row r="24" s="23" customFormat="1" ht="12.75"/>
    <row r="25" spans="1:5" s="19" customFormat="1" ht="12.75">
      <c r="A25" s="546" t="s">
        <v>1183</v>
      </c>
      <c r="B25" s="327" t="s">
        <v>188</v>
      </c>
      <c r="C25" s="549">
        <f>10*23600*8</f>
        <v>1888000</v>
      </c>
      <c r="D25" s="549"/>
      <c r="E25" s="87">
        <f>ROUND(C25,-3)/1000</f>
        <v>1888</v>
      </c>
    </row>
    <row r="26" spans="1:5" s="19" customFormat="1" ht="12.75">
      <c r="A26" s="263"/>
      <c r="B26" s="460" t="s">
        <v>886</v>
      </c>
      <c r="C26" s="549"/>
      <c r="D26" s="549"/>
      <c r="E26" s="87"/>
    </row>
    <row r="27" s="19" customFormat="1" ht="12.75"/>
    <row r="28" spans="1:5" s="19" customFormat="1" ht="12.75">
      <c r="A28" s="81"/>
      <c r="B28" s="81"/>
      <c r="C28" s="81"/>
      <c r="D28" s="81"/>
      <c r="E28" s="55"/>
    </row>
    <row r="29" spans="1:7" s="19" customFormat="1" ht="15.75">
      <c r="A29" s="1379" t="s">
        <v>189</v>
      </c>
      <c r="B29" s="1379"/>
      <c r="C29" s="1379"/>
      <c r="D29" s="1379"/>
      <c r="E29" s="76">
        <f>E14+E16+E21+E23+E25</f>
        <v>1888</v>
      </c>
      <c r="G29" s="1006"/>
    </row>
    <row r="30" spans="1:7" s="19" customFormat="1" ht="15.75">
      <c r="A30" s="78"/>
      <c r="B30" s="78"/>
      <c r="C30" s="78"/>
      <c r="D30" s="78"/>
      <c r="E30" s="80"/>
      <c r="G30" s="19">
        <f>+G29/22</f>
        <v>0</v>
      </c>
    </row>
    <row r="31" spans="1:5" s="19" customFormat="1" ht="15.75">
      <c r="A31" s="288" t="s">
        <v>1201</v>
      </c>
      <c r="B31" s="288" t="s">
        <v>1200</v>
      </c>
      <c r="C31" s="288"/>
      <c r="D31" s="288"/>
      <c r="E31" s="289">
        <f>E25*0.24</f>
        <v>453.12</v>
      </c>
    </row>
    <row r="32" spans="1:5" s="19" customFormat="1" ht="12.75">
      <c r="A32" s="81">
        <v>53112</v>
      </c>
      <c r="B32" s="81" t="s">
        <v>1202</v>
      </c>
      <c r="C32" s="81"/>
      <c r="D32" s="81"/>
      <c r="E32" s="55">
        <f>+E31</f>
        <v>453.12</v>
      </c>
    </row>
    <row r="33" spans="1:5" s="57" customFormat="1" ht="12.75">
      <c r="A33" s="1217" t="s">
        <v>1496</v>
      </c>
      <c r="B33" s="1217"/>
      <c r="C33" s="1217"/>
      <c r="D33" s="1217"/>
      <c r="E33" s="1217"/>
    </row>
    <row r="34" spans="1:5" s="57" customFormat="1" ht="12.75">
      <c r="A34"/>
      <c r="B34"/>
      <c r="C34"/>
      <c r="D34"/>
      <c r="E34"/>
    </row>
    <row r="35" spans="1:5" s="57" customFormat="1" ht="15.75">
      <c r="A35" s="1379" t="s">
        <v>1497</v>
      </c>
      <c r="B35" s="1379"/>
      <c r="C35" s="1379"/>
      <c r="D35" s="1379"/>
      <c r="E35" s="76">
        <v>0</v>
      </c>
    </row>
    <row r="36" spans="1:5" s="57" customFormat="1" ht="12.75">
      <c r="A36"/>
      <c r="B36"/>
      <c r="C36"/>
      <c r="D36"/>
      <c r="E36"/>
    </row>
    <row r="37" spans="1:5" s="57" customFormat="1" ht="15.75">
      <c r="A37" s="1376" t="s">
        <v>961</v>
      </c>
      <c r="B37" s="1376"/>
      <c r="C37" s="1376"/>
      <c r="D37" s="1376"/>
      <c r="E37" s="77">
        <f>E22+E25+E31</f>
        <v>20341.12</v>
      </c>
    </row>
  </sheetData>
  <sheetProtection/>
  <mergeCells count="15">
    <mergeCell ref="A37:D37"/>
    <mergeCell ref="A35:D35"/>
    <mergeCell ref="A15:D15"/>
    <mergeCell ref="A17:E17"/>
    <mergeCell ref="A19:D19"/>
    <mergeCell ref="A33:E33"/>
    <mergeCell ref="B21:E21"/>
    <mergeCell ref="A29:D29"/>
    <mergeCell ref="A13:E13"/>
    <mergeCell ref="A7:D7"/>
    <mergeCell ref="A10:D10"/>
    <mergeCell ref="A1:B1"/>
    <mergeCell ref="A2:B2"/>
    <mergeCell ref="A4:E4"/>
    <mergeCell ref="A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13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1403" t="s">
        <v>174</v>
      </c>
      <c r="C1" s="1427"/>
    </row>
    <row r="2" spans="2:3" ht="24" customHeight="1">
      <c r="B2" s="1428" t="s">
        <v>387</v>
      </c>
      <c r="C2" s="1429"/>
    </row>
    <row r="4" spans="1:5" ht="15">
      <c r="A4" s="1382" t="s">
        <v>163</v>
      </c>
      <c r="B4" s="1382"/>
      <c r="C4" s="1382"/>
      <c r="D4" s="1382"/>
      <c r="E4" s="1382"/>
    </row>
    <row r="5" spans="1:5" ht="12.75">
      <c r="A5" s="1217" t="s">
        <v>1480</v>
      </c>
      <c r="B5" s="1217"/>
      <c r="C5" s="1217"/>
      <c r="D5" s="1217"/>
      <c r="E5" s="1217"/>
    </row>
    <row r="6" spans="1:5" ht="12.75">
      <c r="A6" s="65"/>
      <c r="B6" s="65"/>
      <c r="C6" s="66"/>
      <c r="D6" s="66"/>
      <c r="E6" s="66"/>
    </row>
    <row r="7" spans="1:5" ht="15.75">
      <c r="A7" s="1379" t="s">
        <v>1484</v>
      </c>
      <c r="B7" s="1379"/>
      <c r="C7" s="1379"/>
      <c r="D7" s="1379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215" t="s">
        <v>1485</v>
      </c>
      <c r="B10" s="1372"/>
      <c r="C10" s="1372"/>
      <c r="D10" s="1372"/>
      <c r="E10" s="1372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379" t="s">
        <v>981</v>
      </c>
      <c r="B13" s="1379"/>
      <c r="C13" s="1379"/>
      <c r="D13" s="1379"/>
      <c r="E13" s="67">
        <v>0</v>
      </c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217" t="s">
        <v>1487</v>
      </c>
      <c r="B16" s="1217"/>
      <c r="C16" s="1217"/>
      <c r="D16" s="1217"/>
      <c r="E16" s="1217"/>
    </row>
    <row r="18" spans="1:5" ht="15.75">
      <c r="A18" s="1379" t="s">
        <v>162</v>
      </c>
      <c r="B18" s="1379"/>
      <c r="C18" s="1379"/>
      <c r="D18" s="1379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217" t="s">
        <v>190</v>
      </c>
      <c r="B20" s="1217"/>
      <c r="C20" s="1217"/>
      <c r="D20" s="1217"/>
      <c r="E20" s="1217"/>
    </row>
    <row r="22" spans="1:5" ht="15.75">
      <c r="A22" s="1379" t="s">
        <v>158</v>
      </c>
      <c r="B22" s="1379"/>
      <c r="C22" s="1379"/>
      <c r="D22" s="1379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217" t="s">
        <v>184</v>
      </c>
      <c r="B24" s="1217"/>
      <c r="C24" s="1217"/>
      <c r="D24" s="1217"/>
      <c r="E24" s="1217"/>
    </row>
    <row r="25" spans="1:5" s="21" customFormat="1" ht="12.75">
      <c r="A25" s="311"/>
      <c r="B25" s="491"/>
      <c r="C25" s="317"/>
      <c r="D25" s="311"/>
      <c r="E25" s="311"/>
    </row>
    <row r="26" spans="1:5" s="21" customFormat="1" ht="12.75">
      <c r="A26" s="311"/>
      <c r="B26" s="491"/>
      <c r="C26" s="317"/>
      <c r="D26" s="311"/>
      <c r="E26" s="311"/>
    </row>
    <row r="27" spans="1:5" ht="12.75">
      <c r="A27" s="546">
        <v>5831181</v>
      </c>
      <c r="B27" s="327" t="s">
        <v>1087</v>
      </c>
      <c r="C27" s="547">
        <f>500*5800*2</f>
        <v>5800000</v>
      </c>
      <c r="D27" s="547">
        <f>+ROUND(C27,-3)</f>
        <v>5800000</v>
      </c>
      <c r="E27" s="87">
        <f>+D27/1000</f>
        <v>5800</v>
      </c>
    </row>
    <row r="28" spans="1:5" ht="12.75">
      <c r="A28" s="327"/>
      <c r="B28" s="263" t="s">
        <v>909</v>
      </c>
      <c r="C28" s="327"/>
      <c r="D28" s="327"/>
      <c r="E28" s="49"/>
    </row>
    <row r="29" spans="1:5" ht="15.75">
      <c r="A29" s="1383" t="s">
        <v>189</v>
      </c>
      <c r="B29" s="1383"/>
      <c r="C29" s="1383"/>
      <c r="D29" s="1383"/>
      <c r="E29" s="442">
        <f>+E27</f>
        <v>5800</v>
      </c>
    </row>
    <row r="30" spans="1:5" ht="12.75">
      <c r="A30" s="81"/>
      <c r="B30" s="81"/>
      <c r="C30" s="81"/>
      <c r="D30" s="81"/>
      <c r="E30" s="55"/>
    </row>
    <row r="31" spans="1:5" ht="12.75">
      <c r="A31" s="1217" t="s">
        <v>1496</v>
      </c>
      <c r="B31" s="1217"/>
      <c r="C31" s="1217"/>
      <c r="D31" s="1217"/>
      <c r="E31" s="1217"/>
    </row>
    <row r="33" spans="1:5" ht="15.75">
      <c r="A33" s="1379" t="s">
        <v>1497</v>
      </c>
      <c r="B33" s="1379"/>
      <c r="C33" s="1379"/>
      <c r="D33" s="1379"/>
      <c r="E33" s="76"/>
    </row>
    <row r="35" spans="1:5" ht="15.75">
      <c r="A35" s="1376" t="s">
        <v>961</v>
      </c>
      <c r="B35" s="1376"/>
      <c r="C35" s="1376"/>
      <c r="D35" s="1376"/>
      <c r="E35" s="77">
        <f>+E33+E22+E18+E13+E7+E29</f>
        <v>5800</v>
      </c>
    </row>
  </sheetData>
  <sheetProtection/>
  <mergeCells count="16">
    <mergeCell ref="A10:E10"/>
    <mergeCell ref="B1:C1"/>
    <mergeCell ref="B2:C2"/>
    <mergeCell ref="A4:E4"/>
    <mergeCell ref="A5:E5"/>
    <mergeCell ref="A7:D7"/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1380" t="s">
        <v>130</v>
      </c>
      <c r="B1" s="1380"/>
      <c r="C1" s="1380"/>
      <c r="D1" s="1380"/>
      <c r="E1" s="1380"/>
    </row>
    <row r="3" spans="1:5" ht="12.75">
      <c r="A3" s="1380" t="s">
        <v>918</v>
      </c>
      <c r="B3" s="1380"/>
      <c r="C3" s="1380"/>
      <c r="D3" s="1380"/>
      <c r="E3" s="1380"/>
    </row>
    <row r="5" spans="1:5" ht="12.75">
      <c r="A5" s="1217" t="s">
        <v>184</v>
      </c>
      <c r="B5" s="1217"/>
      <c r="C5" s="1217"/>
      <c r="D5" s="1217"/>
      <c r="E5" s="1217"/>
    </row>
    <row r="6" spans="1:5" ht="12.75">
      <c r="A6" s="45">
        <v>5831184</v>
      </c>
      <c r="B6" s="46" t="s">
        <v>915</v>
      </c>
      <c r="C6" s="565"/>
      <c r="D6" s="566">
        <f>+C7+C8</f>
        <v>400000</v>
      </c>
      <c r="E6" s="457">
        <f>+ROUND(D6,-3)/1000</f>
        <v>400</v>
      </c>
    </row>
    <row r="7" spans="1:5" ht="12.75">
      <c r="A7" s="311"/>
      <c r="B7" s="491" t="s">
        <v>916</v>
      </c>
      <c r="C7" s="317">
        <f>10*10000*2</f>
        <v>200000</v>
      </c>
      <c r="D7" s="311"/>
      <c r="E7" s="311"/>
    </row>
    <row r="8" spans="1:5" ht="12.75">
      <c r="A8" s="311"/>
      <c r="B8" s="491" t="s">
        <v>885</v>
      </c>
      <c r="C8" s="317">
        <f>10*20000</f>
        <v>200000</v>
      </c>
      <c r="D8" s="311"/>
      <c r="E8" s="311"/>
    </row>
    <row r="9" spans="1:5" ht="12.75">
      <c r="A9" s="546"/>
      <c r="B9" s="327"/>
      <c r="C9" s="547"/>
      <c r="D9" s="547"/>
      <c r="E9" s="87"/>
    </row>
    <row r="10" spans="1:5" ht="12.75">
      <c r="A10" s="327"/>
      <c r="B10" s="263"/>
      <c r="C10" s="327"/>
      <c r="D10" s="327"/>
      <c r="E10" s="49"/>
    </row>
    <row r="11" spans="1:5" ht="15.75">
      <c r="A11" s="1383" t="s">
        <v>189</v>
      </c>
      <c r="B11" s="1383"/>
      <c r="C11" s="1383"/>
      <c r="D11" s="1383"/>
      <c r="E11" s="442">
        <f>+E9+E6</f>
        <v>400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3">
      <selection activeCell="A2" sqref="A2:D2"/>
    </sheetView>
  </sheetViews>
  <sheetFormatPr defaultColWidth="9.140625" defaultRowHeight="19.5" customHeight="1"/>
  <cols>
    <col min="1" max="1" width="12.7109375" style="91" customWidth="1"/>
    <col min="2" max="2" width="38.00390625" style="91" customWidth="1"/>
    <col min="3" max="3" width="12.7109375" style="91" bestFit="1" customWidth="1"/>
    <col min="4" max="4" width="12.8515625" style="91" customWidth="1"/>
    <col min="5" max="5" width="10.140625" style="91" customWidth="1"/>
    <col min="6" max="6" width="10.57421875" style="91" bestFit="1" customWidth="1"/>
    <col min="7" max="16384" width="9.140625" style="91" customWidth="1"/>
  </cols>
  <sheetData>
    <row r="1" spans="1:4" ht="19.5" customHeight="1">
      <c r="A1" s="118"/>
      <c r="B1" s="1403" t="s">
        <v>174</v>
      </c>
      <c r="C1" s="1430"/>
      <c r="D1" s="118"/>
    </row>
    <row r="2" spans="1:4" ht="19.5" customHeight="1">
      <c r="A2" s="1403" t="s">
        <v>388</v>
      </c>
      <c r="B2" s="1431"/>
      <c r="C2" s="1431"/>
      <c r="D2" s="1431"/>
    </row>
    <row r="4" spans="1:5" ht="19.5" customHeight="1">
      <c r="A4" s="1386" t="s">
        <v>163</v>
      </c>
      <c r="B4" s="1386"/>
      <c r="C4" s="1386"/>
      <c r="D4" s="1386"/>
      <c r="E4" s="1386"/>
    </row>
    <row r="5" spans="1:5" ht="19.5" customHeight="1">
      <c r="A5" s="1387" t="s">
        <v>1480</v>
      </c>
      <c r="B5" s="1387"/>
      <c r="C5" s="1387"/>
      <c r="D5" s="1387"/>
      <c r="E5" s="1387"/>
    </row>
    <row r="6" spans="1:5" ht="19.5" customHeight="1">
      <c r="A6" s="101"/>
      <c r="B6" s="101"/>
      <c r="C6" s="102"/>
      <c r="D6" s="102"/>
      <c r="E6" s="102"/>
    </row>
    <row r="7" spans="1:5" ht="19.5" customHeight="1">
      <c r="A7" s="1398" t="s">
        <v>1484</v>
      </c>
      <c r="B7" s="1398"/>
      <c r="C7" s="1398"/>
      <c r="D7" s="1398"/>
      <c r="E7" s="103"/>
    </row>
    <row r="8" spans="1:5" ht="19.5" customHeight="1">
      <c r="A8" s="101"/>
      <c r="B8" s="101"/>
      <c r="C8" s="102"/>
      <c r="D8" s="102"/>
      <c r="E8" s="102"/>
    </row>
    <row r="9" spans="1:5" ht="19.5" customHeight="1">
      <c r="A9" s="101"/>
      <c r="B9" s="101"/>
      <c r="C9" s="102"/>
      <c r="D9" s="102"/>
      <c r="E9" s="102"/>
    </row>
    <row r="10" spans="1:5" ht="19.5" customHeight="1">
      <c r="A10" s="1377" t="s">
        <v>1485</v>
      </c>
      <c r="B10" s="1378"/>
      <c r="C10" s="1378"/>
      <c r="D10" s="1378"/>
      <c r="E10" s="1378"/>
    </row>
    <row r="11" spans="1:5" ht="19.5" customHeight="1">
      <c r="A11" s="101"/>
      <c r="B11" s="101"/>
      <c r="C11" s="102"/>
      <c r="D11" s="102"/>
      <c r="E11" s="102"/>
    </row>
    <row r="12" spans="1:5" ht="19.5" customHeight="1">
      <c r="A12" s="101"/>
      <c r="B12" s="101"/>
      <c r="C12" s="102"/>
      <c r="D12" s="102"/>
      <c r="E12" s="102"/>
    </row>
    <row r="13" spans="1:5" ht="19.5" customHeight="1">
      <c r="A13" s="1398" t="s">
        <v>981</v>
      </c>
      <c r="B13" s="1398"/>
      <c r="C13" s="1398"/>
      <c r="D13" s="1398"/>
      <c r="E13" s="103"/>
    </row>
    <row r="14" spans="1:5" ht="19.5" customHeight="1">
      <c r="A14" s="101"/>
      <c r="B14" s="101"/>
      <c r="C14" s="102"/>
      <c r="D14" s="102"/>
      <c r="E14" s="102"/>
    </row>
    <row r="15" spans="1:5" ht="19.5" customHeight="1">
      <c r="A15" s="101"/>
      <c r="B15" s="101"/>
      <c r="C15" s="102"/>
      <c r="D15" s="102"/>
      <c r="E15" s="102"/>
    </row>
    <row r="16" spans="1:5" ht="19.5" customHeight="1">
      <c r="A16" s="1387" t="s">
        <v>1487</v>
      </c>
      <c r="B16" s="1387"/>
      <c r="C16" s="1387"/>
      <c r="D16" s="1387"/>
      <c r="E16" s="1387"/>
    </row>
    <row r="18" spans="1:5" ht="19.5" customHeight="1">
      <c r="A18" s="1398" t="s">
        <v>162</v>
      </c>
      <c r="B18" s="1398"/>
      <c r="C18" s="1398"/>
      <c r="D18" s="1398"/>
      <c r="E18" s="108"/>
    </row>
    <row r="19" spans="1:5" ht="19.5" customHeight="1">
      <c r="A19" s="121"/>
      <c r="B19" s="121"/>
      <c r="C19" s="121"/>
      <c r="D19" s="121"/>
      <c r="E19" s="122"/>
    </row>
    <row r="20" spans="1:5" ht="19.5" customHeight="1">
      <c r="A20" s="1387" t="s">
        <v>190</v>
      </c>
      <c r="B20" s="1387"/>
      <c r="C20" s="1387"/>
      <c r="D20" s="1387"/>
      <c r="E20" s="1387"/>
    </row>
    <row r="22" spans="1:5" ht="19.5" customHeight="1">
      <c r="A22" s="1398" t="s">
        <v>158</v>
      </c>
      <c r="B22" s="1398"/>
      <c r="C22" s="1398"/>
      <c r="D22" s="1398"/>
      <c r="E22" s="109"/>
    </row>
    <row r="23" spans="1:5" ht="19.5" customHeight="1">
      <c r="A23" s="121"/>
      <c r="B23" s="121"/>
      <c r="C23" s="121"/>
      <c r="D23" s="121"/>
      <c r="E23" s="125"/>
    </row>
    <row r="24" spans="1:5" ht="19.5" customHeight="1">
      <c r="A24" s="1387" t="s">
        <v>184</v>
      </c>
      <c r="B24" s="1387"/>
      <c r="C24" s="1387"/>
      <c r="D24" s="1387"/>
      <c r="E24" s="1387"/>
    </row>
    <row r="25" spans="1:5" ht="15">
      <c r="A25" s="546">
        <v>5831112</v>
      </c>
      <c r="B25" s="327" t="s">
        <v>1088</v>
      </c>
      <c r="C25" s="549">
        <f>SUM(C26:C26)</f>
        <v>6156000</v>
      </c>
      <c r="D25" s="549">
        <f>C25</f>
        <v>6156000</v>
      </c>
      <c r="E25" s="87">
        <f>+D25/1000</f>
        <v>6156</v>
      </c>
    </row>
    <row r="26" spans="1:5" ht="15">
      <c r="A26" s="316"/>
      <c r="B26" s="316" t="s">
        <v>860</v>
      </c>
      <c r="C26" s="459">
        <f>20*25650*12</f>
        <v>6156000</v>
      </c>
      <c r="D26" s="316"/>
      <c r="E26" s="316"/>
    </row>
    <row r="27" spans="1:5" ht="15">
      <c r="A27" s="546">
        <v>583111112</v>
      </c>
      <c r="B27" s="539" t="s">
        <v>185</v>
      </c>
      <c r="C27" s="549">
        <f>C28+C29</f>
        <v>82080000</v>
      </c>
      <c r="D27" s="549"/>
      <c r="E27" s="87">
        <f>C27/1000</f>
        <v>82080</v>
      </c>
    </row>
    <row r="28" spans="1:5" ht="19.5" customHeight="1">
      <c r="A28" s="546"/>
      <c r="B28" s="263" t="s">
        <v>861</v>
      </c>
      <c r="C28" s="549">
        <f>300*12*22800</f>
        <v>82080000</v>
      </c>
      <c r="D28" s="549"/>
      <c r="E28" s="87"/>
    </row>
    <row r="29" spans="1:5" ht="19.5" customHeight="1">
      <c r="A29" s="546"/>
      <c r="B29" s="263"/>
      <c r="C29" s="549"/>
      <c r="D29" s="549"/>
      <c r="E29" s="87"/>
    </row>
    <row r="30" spans="1:5" ht="19.5" customHeight="1">
      <c r="A30" s="550"/>
      <c r="B30" s="550"/>
      <c r="C30" s="550"/>
      <c r="D30" s="550"/>
      <c r="E30" s="248"/>
    </row>
    <row r="31" spans="1:5" ht="19.5" customHeight="1">
      <c r="A31" s="1399" t="s">
        <v>189</v>
      </c>
      <c r="B31" s="1399"/>
      <c r="C31" s="1399"/>
      <c r="D31" s="1399"/>
      <c r="E31" s="551">
        <f>+E25+E27</f>
        <v>88236</v>
      </c>
    </row>
    <row r="33" spans="1:5" ht="19.5" customHeight="1">
      <c r="A33" s="1400" t="s">
        <v>961</v>
      </c>
      <c r="B33" s="1400"/>
      <c r="C33" s="1400"/>
      <c r="D33" s="1400"/>
      <c r="E33" s="110">
        <f>E22+E18+E13+E7+E31</f>
        <v>88236</v>
      </c>
    </row>
  </sheetData>
  <sheetProtection/>
  <mergeCells count="14">
    <mergeCell ref="A18:D18"/>
    <mergeCell ref="A20:E20"/>
    <mergeCell ref="A33:D33"/>
    <mergeCell ref="A22:D22"/>
    <mergeCell ref="A24:E24"/>
    <mergeCell ref="A31:D31"/>
    <mergeCell ref="A13:D13"/>
    <mergeCell ref="A16:E16"/>
    <mergeCell ref="B1:C1"/>
    <mergeCell ref="A2:D2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22">
      <selection activeCell="D38" sqref="D38"/>
    </sheetView>
  </sheetViews>
  <sheetFormatPr defaultColWidth="9.140625" defaultRowHeight="12.75"/>
  <cols>
    <col min="1" max="1" width="21.140625" style="91" customWidth="1"/>
    <col min="2" max="2" width="50.421875" style="91" customWidth="1"/>
    <col min="3" max="3" width="11.421875" style="91" customWidth="1"/>
    <col min="4" max="4" width="12.421875" style="91" customWidth="1"/>
    <col min="5" max="5" width="7.140625" style="91" customWidth="1"/>
    <col min="6" max="6" width="10.421875" style="91" bestFit="1" customWidth="1"/>
    <col min="7" max="16384" width="9.140625" style="91" customWidth="1"/>
  </cols>
  <sheetData>
    <row r="1" spans="2:5" ht="23.25" customHeight="1">
      <c r="B1" s="1432" t="s">
        <v>130</v>
      </c>
      <c r="C1" s="1433"/>
      <c r="D1" s="1433"/>
      <c r="E1" s="1433"/>
    </row>
    <row r="2" spans="2:5" ht="21" customHeight="1">
      <c r="B2" s="1432" t="s">
        <v>1184</v>
      </c>
      <c r="C2" s="1432"/>
      <c r="D2" s="1432"/>
      <c r="E2" s="1432"/>
    </row>
    <row r="4" spans="1:5" ht="15">
      <c r="A4" s="1386" t="s">
        <v>163</v>
      </c>
      <c r="B4" s="1386"/>
      <c r="C4" s="1386"/>
      <c r="D4" s="1386"/>
      <c r="E4" s="1386"/>
    </row>
    <row r="5" spans="1:5" ht="15">
      <c r="A5" s="1387" t="s">
        <v>1480</v>
      </c>
      <c r="B5" s="1387"/>
      <c r="C5" s="1387"/>
      <c r="D5" s="1387"/>
      <c r="E5" s="1387"/>
    </row>
    <row r="6" spans="1:5" ht="15">
      <c r="A6" s="101"/>
      <c r="B6" s="101"/>
      <c r="C6" s="102"/>
      <c r="D6" s="102"/>
      <c r="E6" s="102"/>
    </row>
    <row r="7" spans="1:5" ht="15.75">
      <c r="A7" s="1398" t="s">
        <v>1484</v>
      </c>
      <c r="B7" s="1398"/>
      <c r="C7" s="1398"/>
      <c r="D7" s="1398"/>
      <c r="E7" s="103"/>
    </row>
    <row r="8" spans="1:5" ht="15">
      <c r="A8" s="101"/>
      <c r="B8" s="101"/>
      <c r="C8" s="102"/>
      <c r="D8" s="102"/>
      <c r="E8" s="102"/>
    </row>
    <row r="9" spans="1:5" ht="15">
      <c r="A9" s="101"/>
      <c r="B9" s="101"/>
      <c r="C9" s="102"/>
      <c r="D9" s="102"/>
      <c r="E9" s="102"/>
    </row>
    <row r="10" spans="1:5" ht="15">
      <c r="A10" s="1377" t="s">
        <v>1485</v>
      </c>
      <c r="B10" s="1378"/>
      <c r="C10" s="1378"/>
      <c r="D10" s="1378"/>
      <c r="E10" s="1378"/>
    </row>
    <row r="11" spans="1:5" ht="15">
      <c r="A11" s="101"/>
      <c r="B11" s="101"/>
      <c r="C11" s="102"/>
      <c r="D11" s="102"/>
      <c r="E11" s="102"/>
    </row>
    <row r="12" spans="1:5" ht="15.75">
      <c r="A12" s="1398" t="s">
        <v>981</v>
      </c>
      <c r="B12" s="1398"/>
      <c r="C12" s="1398"/>
      <c r="D12" s="1398"/>
      <c r="E12" s="103"/>
    </row>
    <row r="13" spans="1:5" ht="15">
      <c r="A13" s="101"/>
      <c r="B13" s="101"/>
      <c r="C13" s="102"/>
      <c r="D13" s="102"/>
      <c r="E13" s="102"/>
    </row>
    <row r="14" spans="1:5" ht="15">
      <c r="A14" s="101"/>
      <c r="B14" s="101"/>
      <c r="C14" s="102"/>
      <c r="D14" s="102"/>
      <c r="E14" s="102"/>
    </row>
    <row r="15" spans="1:5" ht="15">
      <c r="A15" s="1387" t="s">
        <v>1487</v>
      </c>
      <c r="B15" s="1387"/>
      <c r="C15" s="1387"/>
      <c r="D15" s="1387"/>
      <c r="E15" s="1387"/>
    </row>
    <row r="17" spans="1:5" ht="15.75">
      <c r="A17" s="1398" t="s">
        <v>162</v>
      </c>
      <c r="B17" s="1398"/>
      <c r="C17" s="1398"/>
      <c r="D17" s="1398"/>
      <c r="E17" s="108"/>
    </row>
    <row r="18" spans="1:5" ht="15.75">
      <c r="A18" s="121"/>
      <c r="B18" s="121"/>
      <c r="C18" s="121"/>
      <c r="D18" s="121"/>
      <c r="E18" s="122"/>
    </row>
    <row r="19" spans="1:5" ht="15">
      <c r="A19" s="1387" t="s">
        <v>190</v>
      </c>
      <c r="B19" s="1387"/>
      <c r="C19" s="1387"/>
      <c r="D19" s="1387"/>
      <c r="E19" s="1387"/>
    </row>
    <row r="21" spans="1:5" ht="15.75">
      <c r="A21" s="1398" t="s">
        <v>158</v>
      </c>
      <c r="B21" s="1398"/>
      <c r="C21" s="1398"/>
      <c r="D21" s="1398"/>
      <c r="E21" s="109"/>
    </row>
    <row r="22" spans="1:5" ht="15.75">
      <c r="A22" s="121"/>
      <c r="B22" s="121"/>
      <c r="C22" s="121"/>
      <c r="D22" s="121"/>
      <c r="E22" s="125"/>
    </row>
    <row r="23" spans="1:5" ht="15">
      <c r="A23" s="1387" t="s">
        <v>184</v>
      </c>
      <c r="B23" s="1387"/>
      <c r="C23" s="1387"/>
      <c r="D23" s="1387"/>
      <c r="E23" s="1387"/>
    </row>
    <row r="24" spans="1:5" ht="15">
      <c r="A24" s="96"/>
      <c r="B24" s="96"/>
      <c r="C24" s="96"/>
      <c r="D24" s="96"/>
      <c r="E24" s="96"/>
    </row>
    <row r="25" spans="1:5" ht="15.75">
      <c r="A25" s="142" t="s">
        <v>390</v>
      </c>
      <c r="B25" s="130"/>
      <c r="C25" s="96"/>
      <c r="D25" s="96"/>
      <c r="E25" s="96"/>
    </row>
    <row r="26" spans="1:5" s="30" customFormat="1" ht="15.75">
      <c r="A26" s="314"/>
      <c r="B26" s="314"/>
      <c r="C26" s="313"/>
      <c r="D26" s="313"/>
      <c r="E26" s="315"/>
    </row>
    <row r="27" spans="1:5" ht="15">
      <c r="A27" s="116"/>
      <c r="B27" s="116"/>
      <c r="C27" s="126"/>
      <c r="D27" s="116"/>
      <c r="E27" s="116"/>
    </row>
    <row r="28" spans="1:5" ht="15.75">
      <c r="A28" s="552" t="s">
        <v>1185</v>
      </c>
      <c r="B28" s="550" t="s">
        <v>1089</v>
      </c>
      <c r="C28" s="553">
        <v>0</v>
      </c>
      <c r="D28" s="553">
        <f>C28</f>
        <v>0</v>
      </c>
      <c r="E28" s="554">
        <f>+D28/1000</f>
        <v>0</v>
      </c>
    </row>
    <row r="29" spans="1:5" ht="15.75">
      <c r="A29" s="555"/>
      <c r="B29" s="556"/>
      <c r="C29" s="299"/>
      <c r="D29" s="553"/>
      <c r="E29" s="554"/>
    </row>
    <row r="30" spans="1:5" ht="15.75">
      <c r="A30" s="555">
        <v>5831171882122</v>
      </c>
      <c r="B30" s="550" t="s">
        <v>1491</v>
      </c>
      <c r="C30" s="557">
        <f>334*3000*3</f>
        <v>3006000</v>
      </c>
      <c r="D30" s="553">
        <f>+ROUND(C30,-3)</f>
        <v>3006000</v>
      </c>
      <c r="E30" s="554">
        <f>+D30/1000</f>
        <v>3006</v>
      </c>
    </row>
    <row r="31" spans="1:5" ht="15.75">
      <c r="A31" s="555"/>
      <c r="B31" s="558" t="s">
        <v>862</v>
      </c>
      <c r="C31" s="99"/>
      <c r="D31" s="550"/>
      <c r="E31" s="248"/>
    </row>
    <row r="32" spans="1:5" ht="15.75">
      <c r="A32" s="552" t="s">
        <v>1186</v>
      </c>
      <c r="B32" s="550" t="s">
        <v>1492</v>
      </c>
      <c r="C32" s="553">
        <v>0</v>
      </c>
      <c r="D32" s="553">
        <f>+ROUND(C32,-3)</f>
        <v>0</v>
      </c>
      <c r="E32" s="554">
        <f>+D32/1000</f>
        <v>0</v>
      </c>
    </row>
    <row r="33" spans="1:5" ht="15.75">
      <c r="A33" s="555"/>
      <c r="B33" s="558"/>
      <c r="C33" s="550"/>
      <c r="D33" s="550"/>
      <c r="E33" s="248"/>
    </row>
    <row r="34" spans="1:5" ht="15.75">
      <c r="A34" s="552" t="s">
        <v>1187</v>
      </c>
      <c r="B34" s="550" t="s">
        <v>966</v>
      </c>
      <c r="C34" s="553">
        <f>5*150000</f>
        <v>750000</v>
      </c>
      <c r="D34" s="553">
        <f>C34</f>
        <v>750000</v>
      </c>
      <c r="E34" s="554">
        <f>+D34/1000</f>
        <v>750</v>
      </c>
    </row>
    <row r="35" spans="1:5" ht="15.75">
      <c r="A35" s="555"/>
      <c r="B35" s="558" t="s">
        <v>863</v>
      </c>
      <c r="C35" s="553"/>
      <c r="D35" s="553"/>
      <c r="E35" s="554"/>
    </row>
    <row r="36" spans="1:5" ht="15.75">
      <c r="A36" s="552" t="s">
        <v>1188</v>
      </c>
      <c r="B36" s="559" t="s">
        <v>795</v>
      </c>
      <c r="C36" s="553">
        <v>400000</v>
      </c>
      <c r="D36" s="553">
        <f>+ROUND(C36,-3)</f>
        <v>400000</v>
      </c>
      <c r="E36" s="554">
        <f>+D36/1000</f>
        <v>400</v>
      </c>
    </row>
    <row r="37" spans="1:5" ht="15.75">
      <c r="A37" s="555"/>
      <c r="B37" s="558" t="s">
        <v>1312</v>
      </c>
      <c r="C37" s="550"/>
      <c r="D37" s="550"/>
      <c r="E37" s="248"/>
    </row>
    <row r="38" spans="1:5" ht="15.75">
      <c r="A38" s="555">
        <v>5831191882125</v>
      </c>
      <c r="B38" s="550" t="s">
        <v>1090</v>
      </c>
      <c r="C38" s="553"/>
      <c r="D38" s="553"/>
      <c r="E38" s="554">
        <f>+D38/1000</f>
        <v>0</v>
      </c>
    </row>
    <row r="39" spans="1:5" ht="15.75">
      <c r="A39" s="555"/>
      <c r="B39" s="560"/>
      <c r="C39" s="550"/>
      <c r="D39" s="550"/>
      <c r="E39" s="248"/>
    </row>
    <row r="40" spans="1:5" ht="15.75">
      <c r="A40" s="552" t="s">
        <v>1189</v>
      </c>
      <c r="B40" s="550" t="s">
        <v>1091</v>
      </c>
      <c r="C40" s="553">
        <v>2450000</v>
      </c>
      <c r="D40" s="553">
        <f>+ROUND(C40,-3)</f>
        <v>2450000</v>
      </c>
      <c r="E40" s="554">
        <f>+D40/1000</f>
        <v>2450</v>
      </c>
    </row>
    <row r="41" spans="1:5" ht="15.75">
      <c r="A41" s="555"/>
      <c r="B41" s="550"/>
      <c r="C41" s="550"/>
      <c r="D41" s="550"/>
      <c r="E41" s="248"/>
    </row>
    <row r="42" spans="1:5" ht="15.75">
      <c r="A42" s="1399" t="s">
        <v>189</v>
      </c>
      <c r="B42" s="1399"/>
      <c r="C42" s="1399"/>
      <c r="D42" s="1399"/>
      <c r="E42" s="551">
        <f>SUM(E28:E41)</f>
        <v>6606</v>
      </c>
    </row>
    <row r="43" spans="1:5" ht="15.75">
      <c r="A43" s="121"/>
      <c r="B43" s="121"/>
      <c r="C43" s="121"/>
      <c r="D43" s="121"/>
      <c r="E43" s="125"/>
    </row>
    <row r="44" spans="1:5" ht="15">
      <c r="A44" s="1387" t="s">
        <v>1496</v>
      </c>
      <c r="B44" s="1387"/>
      <c r="C44" s="1387"/>
      <c r="D44" s="1387"/>
      <c r="E44" s="1387"/>
    </row>
    <row r="46" spans="1:5" ht="15.75">
      <c r="A46" s="1398" t="s">
        <v>1497</v>
      </c>
      <c r="B46" s="1398"/>
      <c r="C46" s="1398"/>
      <c r="D46" s="1398"/>
      <c r="E46" s="109"/>
    </row>
    <row r="48" spans="1:5" ht="15.75">
      <c r="A48" s="1400" t="s">
        <v>961</v>
      </c>
      <c r="B48" s="1400"/>
      <c r="C48" s="1400"/>
      <c r="D48" s="1400"/>
      <c r="E48" s="110">
        <f>+E46+E21+E17+E12+E7+E42</f>
        <v>6606</v>
      </c>
    </row>
    <row r="51" spans="1:5" ht="15">
      <c r="A51" s="1386" t="s">
        <v>164</v>
      </c>
      <c r="B51" s="1386"/>
      <c r="C51" s="1386"/>
      <c r="D51" s="1386"/>
      <c r="E51" s="1386"/>
    </row>
    <row r="53" spans="1:5" ht="15">
      <c r="A53" s="1387" t="s">
        <v>1498</v>
      </c>
      <c r="B53" s="1387"/>
      <c r="C53" s="1387"/>
      <c r="D53" s="1387"/>
      <c r="E53" s="1387"/>
    </row>
    <row r="55" spans="1:5" ht="15.75">
      <c r="A55" s="1398" t="s">
        <v>658</v>
      </c>
      <c r="B55" s="1398"/>
      <c r="C55" s="1398"/>
      <c r="D55" s="1398"/>
      <c r="E55" s="108"/>
    </row>
    <row r="57" spans="1:5" ht="15">
      <c r="A57" s="1387" t="s">
        <v>659</v>
      </c>
      <c r="B57" s="1387"/>
      <c r="C57" s="1387"/>
      <c r="D57" s="1387"/>
      <c r="E57" s="1387"/>
    </row>
    <row r="59" spans="1:5" ht="15.75">
      <c r="A59" s="1398" t="s">
        <v>660</v>
      </c>
      <c r="B59" s="1398"/>
      <c r="C59" s="1398"/>
      <c r="D59" s="1398"/>
      <c r="E59" s="108"/>
    </row>
    <row r="61" spans="1:5" ht="15">
      <c r="A61" s="1387" t="s">
        <v>661</v>
      </c>
      <c r="B61" s="1387"/>
      <c r="C61" s="1387"/>
      <c r="D61" s="1387"/>
      <c r="E61" s="1387"/>
    </row>
    <row r="63" spans="1:5" ht="15.75">
      <c r="A63" s="1398" t="s">
        <v>183</v>
      </c>
      <c r="B63" s="1398"/>
      <c r="C63" s="1398"/>
      <c r="D63" s="1398"/>
      <c r="E63" s="108"/>
    </row>
    <row r="65" spans="1:5" ht="15">
      <c r="A65" s="1387" t="s">
        <v>662</v>
      </c>
      <c r="B65" s="1387"/>
      <c r="C65" s="1387"/>
      <c r="D65" s="1387"/>
      <c r="E65" s="1387"/>
    </row>
    <row r="66" spans="1:5" s="123" customFormat="1" ht="15">
      <c r="A66" s="116"/>
      <c r="B66" s="116"/>
      <c r="C66" s="116"/>
      <c r="D66" s="116"/>
      <c r="E66" s="116"/>
    </row>
    <row r="67" spans="1:5" s="123" customFormat="1" ht="15">
      <c r="A67" s="116"/>
      <c r="B67" s="116" t="s">
        <v>186</v>
      </c>
      <c r="C67" s="126"/>
      <c r="D67" s="116"/>
      <c r="E67" s="116"/>
    </row>
    <row r="68" spans="1:5" s="123" customFormat="1" ht="15.75">
      <c r="A68" s="127">
        <v>464112</v>
      </c>
      <c r="B68" s="127" t="s">
        <v>1007</v>
      </c>
      <c r="C68" s="128"/>
      <c r="D68" s="128"/>
      <c r="E68" s="129"/>
    </row>
    <row r="69" s="123" customFormat="1" ht="15"/>
    <row r="70" spans="1:5" ht="15.75">
      <c r="A70" s="1398" t="s">
        <v>177</v>
      </c>
      <c r="B70" s="1398"/>
      <c r="C70" s="1398"/>
      <c r="D70" s="1398"/>
      <c r="E70" s="108">
        <f>+E68</f>
        <v>0</v>
      </c>
    </row>
    <row r="72" spans="1:5" ht="15.75">
      <c r="A72" s="1400" t="s">
        <v>962</v>
      </c>
      <c r="B72" s="1400"/>
      <c r="C72" s="1400"/>
      <c r="D72" s="1400"/>
      <c r="E72" s="110">
        <f>+E70+E63+E59+E55</f>
        <v>0</v>
      </c>
    </row>
  </sheetData>
  <sheetProtection/>
  <mergeCells count="26"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  <mergeCell ref="A42:D42"/>
    <mergeCell ref="A44:E44"/>
    <mergeCell ref="A12:D12"/>
    <mergeCell ref="A15:E15"/>
    <mergeCell ref="A17:D17"/>
    <mergeCell ref="A19:E19"/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7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1432" t="s">
        <v>130</v>
      </c>
      <c r="C1" s="1433"/>
      <c r="D1" s="1433"/>
      <c r="E1" s="1433"/>
    </row>
    <row r="2" spans="2:5" ht="22.5" customHeight="1">
      <c r="B2" s="1432" t="s">
        <v>1190</v>
      </c>
      <c r="C2" s="1432"/>
      <c r="D2" s="1432"/>
      <c r="E2" s="1432"/>
    </row>
    <row r="4" spans="1:5" ht="15">
      <c r="A4" s="1382" t="s">
        <v>163</v>
      </c>
      <c r="B4" s="1382"/>
      <c r="C4" s="1382"/>
      <c r="D4" s="1382"/>
      <c r="E4" s="1382"/>
    </row>
    <row r="5" spans="1:6" ht="12.75">
      <c r="A5" s="1217" t="s">
        <v>1480</v>
      </c>
      <c r="B5" s="1217"/>
      <c r="C5" s="1217"/>
      <c r="D5" s="1217"/>
      <c r="E5" s="1217"/>
      <c r="F5" s="8"/>
    </row>
    <row r="6" spans="1:6" ht="12.75">
      <c r="A6" s="65"/>
      <c r="B6" s="65"/>
      <c r="C6" s="66"/>
      <c r="D6" s="66"/>
      <c r="E6" s="66"/>
      <c r="F6" s="8"/>
    </row>
    <row r="7" spans="1:6" ht="15.75">
      <c r="A7" s="1379" t="s">
        <v>1484</v>
      </c>
      <c r="B7" s="1379"/>
      <c r="C7" s="1379"/>
      <c r="D7" s="1379"/>
      <c r="E7" s="67"/>
      <c r="F7" s="8"/>
    </row>
    <row r="8" spans="1:6" ht="12.75">
      <c r="A8" s="65"/>
      <c r="B8" s="65"/>
      <c r="C8" s="66"/>
      <c r="D8" s="66"/>
      <c r="E8" s="66"/>
      <c r="F8" s="8"/>
    </row>
    <row r="9" spans="1:6" ht="12.75">
      <c r="A9" s="65"/>
      <c r="B9" s="65"/>
      <c r="C9" s="66"/>
      <c r="D9" s="66"/>
      <c r="E9" s="66"/>
      <c r="F9" s="8"/>
    </row>
    <row r="10" spans="1:6" ht="12.75">
      <c r="A10" s="1215" t="s">
        <v>1485</v>
      </c>
      <c r="B10" s="1372"/>
      <c r="C10" s="1372"/>
      <c r="D10" s="1372"/>
      <c r="E10" s="1372"/>
      <c r="F10" s="8"/>
    </row>
    <row r="11" spans="1:6" ht="12.75">
      <c r="A11" s="65"/>
      <c r="B11" s="65"/>
      <c r="C11" s="66"/>
      <c r="D11" s="66"/>
      <c r="E11" s="66"/>
      <c r="F11" s="8"/>
    </row>
    <row r="12" spans="1:6" ht="12.75">
      <c r="A12" s="65"/>
      <c r="B12" s="65"/>
      <c r="C12" s="66"/>
      <c r="D12" s="66"/>
      <c r="E12" s="66"/>
      <c r="F12" s="8"/>
    </row>
    <row r="13" spans="1:6" ht="15.75">
      <c r="A13" s="1379" t="s">
        <v>981</v>
      </c>
      <c r="B13" s="1379"/>
      <c r="C13" s="1379"/>
      <c r="D13" s="1379"/>
      <c r="E13" s="67"/>
      <c r="F13" s="8"/>
    </row>
    <row r="14" spans="1:6" ht="12.75">
      <c r="A14" s="65"/>
      <c r="B14" s="65"/>
      <c r="C14" s="66"/>
      <c r="D14" s="66"/>
      <c r="E14" s="66"/>
      <c r="F14" s="8"/>
    </row>
    <row r="15" spans="1:6" ht="12.75">
      <c r="A15" s="65"/>
      <c r="B15" s="65"/>
      <c r="C15" s="66"/>
      <c r="D15" s="66"/>
      <c r="E15" s="66"/>
      <c r="F15" s="8"/>
    </row>
    <row r="16" spans="1:6" ht="12.75">
      <c r="A16" s="1217" t="s">
        <v>1487</v>
      </c>
      <c r="B16" s="1217"/>
      <c r="C16" s="1217"/>
      <c r="D16" s="1217"/>
      <c r="E16" s="1217"/>
      <c r="F16" s="8"/>
    </row>
    <row r="17" ht="12.75">
      <c r="F17" s="8"/>
    </row>
    <row r="18" spans="1:6" ht="15.75">
      <c r="A18" s="1379" t="s">
        <v>162</v>
      </c>
      <c r="B18" s="1379"/>
      <c r="C18" s="1379"/>
      <c r="D18" s="1379"/>
      <c r="E18" s="71"/>
      <c r="F18" s="8"/>
    </row>
    <row r="19" spans="1:5" ht="15.75">
      <c r="A19" s="78"/>
      <c r="B19" s="78"/>
      <c r="C19" s="78"/>
      <c r="D19" s="78"/>
      <c r="E19" s="79"/>
    </row>
    <row r="20" spans="1:5" ht="12.75">
      <c r="A20" s="1217" t="s">
        <v>190</v>
      </c>
      <c r="B20" s="1217"/>
      <c r="C20" s="1217"/>
      <c r="D20" s="1217"/>
      <c r="E20" s="1217"/>
    </row>
    <row r="22" spans="1:5" ht="15.75">
      <c r="A22" s="1379" t="s">
        <v>158</v>
      </c>
      <c r="B22" s="1379"/>
      <c r="C22" s="1379"/>
      <c r="D22" s="1379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217" t="s">
        <v>184</v>
      </c>
      <c r="B24" s="1217"/>
      <c r="C24" s="1217"/>
      <c r="D24" s="1217"/>
      <c r="E24" s="1217"/>
    </row>
    <row r="25" spans="1:5" ht="12.75">
      <c r="A25" s="546">
        <v>5831183</v>
      </c>
      <c r="B25" s="327" t="s">
        <v>1092</v>
      </c>
      <c r="C25" s="547"/>
      <c r="D25" s="547">
        <f>+C26</f>
        <v>3600000</v>
      </c>
      <c r="E25" s="87">
        <f>+D25/1000</f>
        <v>3600</v>
      </c>
    </row>
    <row r="26" spans="1:5" ht="12.75">
      <c r="A26" s="311"/>
      <c r="B26" s="316" t="s">
        <v>187</v>
      </c>
      <c r="C26" s="317">
        <f>600*2000*3</f>
        <v>3600000</v>
      </c>
      <c r="D26" s="311"/>
      <c r="E26" s="311"/>
    </row>
    <row r="27" spans="1:5" ht="15.75">
      <c r="A27" s="1383" t="s">
        <v>189</v>
      </c>
      <c r="B27" s="1383"/>
      <c r="C27" s="1383"/>
      <c r="D27" s="1383"/>
      <c r="E27" s="442">
        <f>+E25</f>
        <v>3600</v>
      </c>
    </row>
    <row r="28" spans="1:5" ht="12.75">
      <c r="A28" s="81"/>
      <c r="B28" s="81"/>
      <c r="C28" s="81"/>
      <c r="D28" s="81"/>
      <c r="E28" s="55"/>
    </row>
    <row r="29" spans="1:5" ht="12.75">
      <c r="A29" s="1217" t="s">
        <v>1496</v>
      </c>
      <c r="B29" s="1217"/>
      <c r="C29" s="1217"/>
      <c r="D29" s="1217"/>
      <c r="E29" s="1217"/>
    </row>
    <row r="31" spans="1:5" ht="15.75">
      <c r="A31" s="1379" t="s">
        <v>1497</v>
      </c>
      <c r="B31" s="1379"/>
      <c r="C31" s="1379"/>
      <c r="D31" s="1379"/>
      <c r="E31" s="76"/>
    </row>
    <row r="33" spans="1:5" ht="15.75">
      <c r="A33" s="1376" t="s">
        <v>961</v>
      </c>
      <c r="B33" s="1376"/>
      <c r="C33" s="1376"/>
      <c r="D33" s="1376"/>
      <c r="E33" s="77">
        <f>+E31+E22+E18+E13+E7+E27</f>
        <v>3600</v>
      </c>
    </row>
  </sheetData>
  <sheetProtection/>
  <mergeCells count="16"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  <mergeCell ref="A18:D18"/>
    <mergeCell ref="A20:E20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F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1214" t="s">
        <v>473</v>
      </c>
      <c r="B1" s="1214"/>
      <c r="C1" s="1214"/>
      <c r="D1" s="1214"/>
      <c r="E1" s="1214"/>
      <c r="F1" s="1214"/>
    </row>
    <row r="2" ht="13.5" thickBot="1"/>
    <row r="3" spans="1:6" ht="26.25" thickBot="1">
      <c r="A3" s="586" t="s">
        <v>919</v>
      </c>
      <c r="B3" s="587" t="s">
        <v>920</v>
      </c>
      <c r="C3" s="588" t="s">
        <v>921</v>
      </c>
      <c r="D3" s="588" t="s">
        <v>1097</v>
      </c>
      <c r="E3" s="588" t="s">
        <v>922</v>
      </c>
      <c r="F3" s="589" t="s">
        <v>933</v>
      </c>
    </row>
    <row r="4" spans="1:6" ht="12.75">
      <c r="A4" s="572" t="s">
        <v>1470</v>
      </c>
      <c r="B4" s="573">
        <v>0</v>
      </c>
      <c r="C4" s="846">
        <f>+B4*0.05</f>
        <v>0</v>
      </c>
      <c r="D4" s="574">
        <f>+C4*964500</f>
        <v>0</v>
      </c>
      <c r="E4" s="575">
        <f>+ROUND(D4,-3)/1000</f>
        <v>0</v>
      </c>
      <c r="F4" s="576">
        <f>+D4/4</f>
        <v>0</v>
      </c>
    </row>
    <row r="5" spans="1:6" ht="12.75">
      <c r="A5" s="577" t="s">
        <v>923</v>
      </c>
      <c r="B5" s="176">
        <v>0</v>
      </c>
      <c r="C5" s="178">
        <f aca="true" t="shared" si="0" ref="C5:C19">+B5*0.05</f>
        <v>0</v>
      </c>
      <c r="D5" s="7">
        <f aca="true" t="shared" si="1" ref="D5:D19">+C5*964500</f>
        <v>0</v>
      </c>
      <c r="E5" s="6">
        <f aca="true" t="shared" si="2" ref="E5:E19">+ROUND(D5,-3)/1000</f>
        <v>0</v>
      </c>
      <c r="F5" s="578">
        <f aca="true" t="shared" si="3" ref="F5:F19">+D5/4</f>
        <v>0</v>
      </c>
    </row>
    <row r="6" spans="1:6" ht="12.75">
      <c r="A6" s="577" t="s">
        <v>924</v>
      </c>
      <c r="B6" s="176">
        <v>0</v>
      </c>
      <c r="C6" s="178">
        <f t="shared" si="0"/>
        <v>0</v>
      </c>
      <c r="D6" s="7">
        <f t="shared" si="1"/>
        <v>0</v>
      </c>
      <c r="E6" s="6">
        <f t="shared" si="2"/>
        <v>0</v>
      </c>
      <c r="F6" s="578">
        <f t="shared" si="3"/>
        <v>0</v>
      </c>
    </row>
    <row r="7" spans="1:6" ht="12.75">
      <c r="A7" s="577" t="s">
        <v>42</v>
      </c>
      <c r="B7" s="1057">
        <v>26</v>
      </c>
      <c r="C7" s="178">
        <f t="shared" si="0"/>
        <v>1.3</v>
      </c>
      <c r="D7" s="1066">
        <f t="shared" si="1"/>
        <v>1253850</v>
      </c>
      <c r="E7" s="6">
        <f t="shared" si="2"/>
        <v>1254</v>
      </c>
      <c r="F7" s="578">
        <f t="shared" si="3"/>
        <v>313462.5</v>
      </c>
    </row>
    <row r="8" spans="1:6" ht="12.75">
      <c r="A8" s="577" t="s">
        <v>925</v>
      </c>
      <c r="B8" s="176">
        <v>0</v>
      </c>
      <c r="C8" s="178">
        <f t="shared" si="0"/>
        <v>0</v>
      </c>
      <c r="D8" s="7">
        <f t="shared" si="1"/>
        <v>0</v>
      </c>
      <c r="E8" s="6">
        <f t="shared" si="2"/>
        <v>0</v>
      </c>
      <c r="F8" s="578">
        <f t="shared" si="3"/>
        <v>0</v>
      </c>
    </row>
    <row r="9" spans="1:6" ht="12.75">
      <c r="A9" s="577" t="s">
        <v>926</v>
      </c>
      <c r="B9" s="176">
        <v>0</v>
      </c>
      <c r="C9" s="178">
        <f t="shared" si="0"/>
        <v>0</v>
      </c>
      <c r="D9" s="7">
        <f t="shared" si="1"/>
        <v>0</v>
      </c>
      <c r="E9" s="6">
        <f t="shared" si="2"/>
        <v>0</v>
      </c>
      <c r="F9" s="578">
        <f t="shared" si="3"/>
        <v>0</v>
      </c>
    </row>
    <row r="10" spans="1:6" ht="12.75">
      <c r="A10" s="577" t="s">
        <v>927</v>
      </c>
      <c r="B10" s="658">
        <v>0</v>
      </c>
      <c r="C10" s="178">
        <v>0</v>
      </c>
      <c r="D10" s="7">
        <f t="shared" si="1"/>
        <v>0</v>
      </c>
      <c r="E10" s="6">
        <f t="shared" si="2"/>
        <v>0</v>
      </c>
      <c r="F10" s="578">
        <f t="shared" si="3"/>
        <v>0</v>
      </c>
    </row>
    <row r="11" spans="1:6" ht="12.75">
      <c r="A11" s="577" t="s">
        <v>928</v>
      </c>
      <c r="B11" s="659">
        <v>0</v>
      </c>
      <c r="C11" s="178">
        <f>B11*0.05</f>
        <v>0</v>
      </c>
      <c r="D11" s="7">
        <v>0</v>
      </c>
      <c r="E11" s="6">
        <f t="shared" si="2"/>
        <v>0</v>
      </c>
      <c r="F11" s="578">
        <f t="shared" si="3"/>
        <v>0</v>
      </c>
    </row>
    <row r="12" spans="1:6" ht="12.75">
      <c r="A12" s="577" t="s">
        <v>929</v>
      </c>
      <c r="B12" s="176">
        <v>0</v>
      </c>
      <c r="C12" s="178">
        <f t="shared" si="0"/>
        <v>0</v>
      </c>
      <c r="D12" s="7">
        <f t="shared" si="1"/>
        <v>0</v>
      </c>
      <c r="E12" s="6">
        <f t="shared" si="2"/>
        <v>0</v>
      </c>
      <c r="F12" s="578">
        <f t="shared" si="3"/>
        <v>0</v>
      </c>
    </row>
    <row r="13" spans="1:6" ht="12.75">
      <c r="A13" s="577" t="s">
        <v>930</v>
      </c>
      <c r="B13" s="176">
        <v>0</v>
      </c>
      <c r="C13" s="178">
        <f t="shared" si="0"/>
        <v>0</v>
      </c>
      <c r="D13" s="7">
        <f t="shared" si="1"/>
        <v>0</v>
      </c>
      <c r="E13" s="6">
        <f t="shared" si="2"/>
        <v>0</v>
      </c>
      <c r="F13" s="578">
        <f t="shared" si="3"/>
        <v>0</v>
      </c>
    </row>
    <row r="14" spans="1:6" ht="12.75">
      <c r="A14" s="577" t="s">
        <v>931</v>
      </c>
      <c r="B14" s="176">
        <v>0</v>
      </c>
      <c r="C14" s="178">
        <f t="shared" si="0"/>
        <v>0</v>
      </c>
      <c r="D14" s="7">
        <f t="shared" si="1"/>
        <v>0</v>
      </c>
      <c r="E14" s="6">
        <f t="shared" si="2"/>
        <v>0</v>
      </c>
      <c r="F14" s="578">
        <f t="shared" si="3"/>
        <v>0</v>
      </c>
    </row>
    <row r="15" spans="1:6" ht="12.75">
      <c r="A15" s="577" t="s">
        <v>932</v>
      </c>
      <c r="B15" s="176">
        <v>33</v>
      </c>
      <c r="C15" s="178">
        <f t="shared" si="0"/>
        <v>1.6500000000000001</v>
      </c>
      <c r="D15" s="7">
        <f t="shared" si="1"/>
        <v>1591425.0000000002</v>
      </c>
      <c r="E15" s="6">
        <f t="shared" si="2"/>
        <v>1591</v>
      </c>
      <c r="F15" s="578">
        <f t="shared" si="3"/>
        <v>397856.25000000006</v>
      </c>
    </row>
    <row r="16" spans="1:6" ht="12.75">
      <c r="A16" s="577" t="s">
        <v>1490</v>
      </c>
      <c r="B16" s="176">
        <v>0</v>
      </c>
      <c r="C16" s="178">
        <f t="shared" si="0"/>
        <v>0</v>
      </c>
      <c r="D16" s="7">
        <f t="shared" si="1"/>
        <v>0</v>
      </c>
      <c r="E16" s="6">
        <f t="shared" si="2"/>
        <v>0</v>
      </c>
      <c r="F16" s="578">
        <f t="shared" si="3"/>
        <v>0</v>
      </c>
    </row>
    <row r="17" spans="1:6" ht="12.75">
      <c r="A17" s="577" t="s">
        <v>266</v>
      </c>
      <c r="B17" s="1057">
        <v>2</v>
      </c>
      <c r="C17" s="178">
        <f t="shared" si="0"/>
        <v>0.1</v>
      </c>
      <c r="D17" s="7">
        <f t="shared" si="1"/>
        <v>96450</v>
      </c>
      <c r="E17" s="6">
        <f t="shared" si="2"/>
        <v>96</v>
      </c>
      <c r="F17" s="578">
        <f t="shared" si="3"/>
        <v>24112.5</v>
      </c>
    </row>
    <row r="18" spans="1:6" ht="12.75">
      <c r="A18" s="577" t="s">
        <v>74</v>
      </c>
      <c r="B18" s="176">
        <v>3</v>
      </c>
      <c r="C18" s="178">
        <f t="shared" si="0"/>
        <v>0.15000000000000002</v>
      </c>
      <c r="D18" s="7">
        <f t="shared" si="1"/>
        <v>144675.00000000003</v>
      </c>
      <c r="E18" s="6">
        <f t="shared" si="2"/>
        <v>145</v>
      </c>
      <c r="F18" s="578">
        <f t="shared" si="3"/>
        <v>36168.75000000001</v>
      </c>
    </row>
    <row r="19" spans="1:6" ht="13.5" thickBot="1">
      <c r="A19" s="597" t="s">
        <v>127</v>
      </c>
      <c r="B19" s="579">
        <v>0</v>
      </c>
      <c r="C19" s="847">
        <f t="shared" si="0"/>
        <v>0</v>
      </c>
      <c r="D19" s="580">
        <f t="shared" si="1"/>
        <v>0</v>
      </c>
      <c r="E19" s="581">
        <f t="shared" si="2"/>
        <v>0</v>
      </c>
      <c r="F19" s="582">
        <f t="shared" si="3"/>
        <v>0</v>
      </c>
    </row>
    <row r="20" spans="1:6" ht="13.5" thickBot="1">
      <c r="A20" s="583"/>
      <c r="B20" s="584">
        <f>SUM(B4:B18)</f>
        <v>64</v>
      </c>
      <c r="C20" s="584">
        <f>SUM(C4:C19)</f>
        <v>3.2</v>
      </c>
      <c r="D20" s="585">
        <f>SUM(D4:D19)</f>
        <v>3086400</v>
      </c>
      <c r="E20" s="585">
        <f>SUM(E4:E19)</f>
        <v>3086</v>
      </c>
      <c r="F20" s="585">
        <f>SUM(F4:F19)</f>
        <v>771600</v>
      </c>
    </row>
    <row r="24" ht="12.75">
      <c r="E24">
        <v>964500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19">
      <selection activeCell="A4" sqref="A4:C4"/>
    </sheetView>
  </sheetViews>
  <sheetFormatPr defaultColWidth="9.140625" defaultRowHeight="27" customHeight="1"/>
  <cols>
    <col min="1" max="1" width="51.8515625" style="368" customWidth="1"/>
    <col min="2" max="2" width="18.00390625" style="368" customWidth="1"/>
    <col min="3" max="3" width="18.8515625" style="368" customWidth="1"/>
    <col min="4" max="4" width="33.140625" style="368" customWidth="1"/>
    <col min="5" max="7" width="20.140625" style="368" customWidth="1"/>
    <col min="8" max="8" width="23.00390625" style="368" customWidth="1"/>
    <col min="9" max="9" width="9.421875" style="368" bestFit="1" customWidth="1"/>
    <col min="10" max="16384" width="9.140625" style="368" customWidth="1"/>
  </cols>
  <sheetData>
    <row r="3" spans="2:3" ht="27" customHeight="1">
      <c r="B3" s="1434"/>
      <c r="C3" s="1434"/>
    </row>
    <row r="4" spans="1:3" ht="63" customHeight="1">
      <c r="A4" s="1435" t="s">
        <v>657</v>
      </c>
      <c r="B4" s="1435"/>
      <c r="C4" s="1435"/>
    </row>
    <row r="5" spans="1:4" s="44" customFormat="1" ht="52.5" customHeight="1">
      <c r="A5" s="132" t="s">
        <v>1026</v>
      </c>
      <c r="B5" s="132" t="s">
        <v>41</v>
      </c>
      <c r="C5" s="132" t="s">
        <v>42</v>
      </c>
      <c r="D5" s="367"/>
    </row>
    <row r="6" spans="1:10" ht="27" customHeight="1">
      <c r="A6" s="133" t="s">
        <v>65</v>
      </c>
      <c r="B6" s="849">
        <f>B7+B8</f>
        <v>265756</v>
      </c>
      <c r="C6" s="849" t="e">
        <f>C7+C8</f>
        <v>#REF!</v>
      </c>
      <c r="D6" s="135"/>
      <c r="E6" s="135"/>
      <c r="F6" s="135"/>
      <c r="G6" s="135"/>
      <c r="H6" s="135"/>
      <c r="I6" s="136"/>
      <c r="J6" s="136"/>
    </row>
    <row r="7" spans="1:10" ht="27" customHeight="1">
      <c r="A7" s="133" t="s">
        <v>66</v>
      </c>
      <c r="B7" s="849">
        <f>220243+38287</f>
        <v>258530</v>
      </c>
      <c r="C7" s="849" t="e">
        <f>#REF!</f>
        <v>#REF!</v>
      </c>
      <c r="D7" s="861" t="s">
        <v>652</v>
      </c>
      <c r="E7" s="135"/>
      <c r="F7" s="135"/>
      <c r="G7" s="135"/>
      <c r="H7" s="135"/>
      <c r="I7" s="136"/>
      <c r="J7" s="136"/>
    </row>
    <row r="8" spans="1:10" ht="27" customHeight="1">
      <c r="A8" s="133" t="s">
        <v>67</v>
      </c>
      <c r="B8" s="851">
        <f>6751+475</f>
        <v>7226</v>
      </c>
      <c r="C8" s="849">
        <v>0</v>
      </c>
      <c r="D8" s="861" t="s">
        <v>654</v>
      </c>
      <c r="E8" s="135"/>
      <c r="F8" s="135"/>
      <c r="G8" s="135"/>
      <c r="H8" s="135"/>
      <c r="I8" s="136"/>
      <c r="J8" s="136"/>
    </row>
    <row r="9" spans="1:10" ht="27" customHeight="1">
      <c r="A9" s="133" t="s">
        <v>43</v>
      </c>
      <c r="B9" s="849">
        <v>0</v>
      </c>
      <c r="C9" s="849" t="e">
        <f>#REF!</f>
        <v>#REF!</v>
      </c>
      <c r="D9" s="135"/>
      <c r="E9" s="135"/>
      <c r="F9" s="135"/>
      <c r="G9" s="135"/>
      <c r="H9" s="135"/>
      <c r="I9" s="136"/>
      <c r="J9" s="136"/>
    </row>
    <row r="10" spans="1:10" ht="27" customHeight="1">
      <c r="A10" s="133" t="s">
        <v>809</v>
      </c>
      <c r="B10" s="849">
        <v>78337</v>
      </c>
      <c r="C10" s="849">
        <v>30393</v>
      </c>
      <c r="D10" s="135"/>
      <c r="E10" s="135"/>
      <c r="F10" s="135"/>
      <c r="G10" s="135"/>
      <c r="H10" s="135"/>
      <c r="I10" s="136"/>
      <c r="J10" s="136"/>
    </row>
    <row r="11" spans="1:10" ht="27" customHeight="1">
      <c r="A11" s="133" t="s">
        <v>810</v>
      </c>
      <c r="B11" s="849">
        <v>8957</v>
      </c>
      <c r="C11" s="849">
        <v>99</v>
      </c>
      <c r="D11" s="377" t="s">
        <v>653</v>
      </c>
      <c r="E11" s="135"/>
      <c r="F11" s="134"/>
      <c r="G11" s="135"/>
      <c r="H11" s="135"/>
      <c r="I11" s="136"/>
      <c r="J11" s="136"/>
    </row>
    <row r="12" spans="1:10" ht="27" customHeight="1">
      <c r="A12" s="133" t="s">
        <v>468</v>
      </c>
      <c r="B12" s="849">
        <f>5670+14643-13902</f>
        <v>6411</v>
      </c>
      <c r="C12" s="849">
        <f>1575-1050</f>
        <v>525</v>
      </c>
      <c r="D12" s="861" t="s">
        <v>655</v>
      </c>
      <c r="E12" s="135"/>
      <c r="F12" s="135"/>
      <c r="G12" s="135"/>
      <c r="H12" s="135"/>
      <c r="I12" s="135"/>
      <c r="J12" s="136"/>
    </row>
    <row r="13" spans="1:10" ht="27" customHeight="1">
      <c r="A13" s="133" t="s">
        <v>44</v>
      </c>
      <c r="B13" s="849">
        <v>1732</v>
      </c>
      <c r="C13" s="849">
        <v>0</v>
      </c>
      <c r="D13" s="135"/>
      <c r="E13" s="135"/>
      <c r="F13" s="135"/>
      <c r="G13" s="135"/>
      <c r="H13" s="135"/>
      <c r="I13" s="136"/>
      <c r="J13" s="136"/>
    </row>
    <row r="14" spans="1:10" ht="27" customHeight="1">
      <c r="A14" s="133" t="s">
        <v>45</v>
      </c>
      <c r="B14" s="849">
        <v>2434</v>
      </c>
      <c r="C14" s="849">
        <v>0</v>
      </c>
      <c r="D14" s="135"/>
      <c r="E14" s="135"/>
      <c r="F14" s="135"/>
      <c r="G14" s="135"/>
      <c r="H14" s="135"/>
      <c r="I14" s="136"/>
      <c r="J14" s="136"/>
    </row>
    <row r="15" spans="1:10" ht="27" customHeight="1">
      <c r="A15" s="133" t="s">
        <v>68</v>
      </c>
      <c r="B15" s="134">
        <v>0</v>
      </c>
      <c r="C15" s="134">
        <v>0</v>
      </c>
      <c r="D15" s="135"/>
      <c r="E15" s="135"/>
      <c r="F15" s="135"/>
      <c r="G15" s="135"/>
      <c r="H15" s="135"/>
      <c r="I15" s="136"/>
      <c r="J15" s="136"/>
    </row>
    <row r="16" spans="1:10" ht="27" customHeight="1">
      <c r="A16" s="133" t="s">
        <v>69</v>
      </c>
      <c r="B16" s="849">
        <v>1523</v>
      </c>
      <c r="C16" s="134">
        <v>0</v>
      </c>
      <c r="D16" s="135"/>
      <c r="E16" s="135"/>
      <c r="F16" s="135"/>
      <c r="G16" s="135"/>
      <c r="H16" s="135"/>
      <c r="I16" s="136"/>
      <c r="J16" s="136"/>
    </row>
    <row r="17" spans="1:10" ht="27" customHeight="1">
      <c r="A17" s="133" t="s">
        <v>46</v>
      </c>
      <c r="B17" s="134">
        <f>SUM(B9:B16)</f>
        <v>99394</v>
      </c>
      <c r="C17" s="134" t="e">
        <f>SUM(C9:C16)</f>
        <v>#REF!</v>
      </c>
      <c r="D17" s="135"/>
      <c r="E17" s="135"/>
      <c r="F17" s="135"/>
      <c r="G17" s="135"/>
      <c r="H17" s="135"/>
      <c r="I17" s="136"/>
      <c r="J17" s="136"/>
    </row>
    <row r="18" spans="1:10" ht="27" customHeight="1">
      <c r="A18" s="131" t="s">
        <v>47</v>
      </c>
      <c r="B18" s="134">
        <f>B6-B17</f>
        <v>166362</v>
      </c>
      <c r="C18" s="134" t="e">
        <f>C6-C17</f>
        <v>#REF!</v>
      </c>
      <c r="D18" s="135"/>
      <c r="E18" s="135"/>
      <c r="F18" s="135"/>
      <c r="G18" s="135"/>
      <c r="H18" s="135"/>
      <c r="I18" s="136"/>
      <c r="J18" s="136"/>
    </row>
    <row r="19" spans="1:10" ht="27" customHeight="1">
      <c r="A19" s="133" t="s">
        <v>1421</v>
      </c>
      <c r="B19" s="849">
        <v>460</v>
      </c>
      <c r="C19" s="849">
        <v>159</v>
      </c>
      <c r="D19" s="135"/>
      <c r="E19" s="135"/>
      <c r="F19" s="135"/>
      <c r="G19" s="135"/>
      <c r="H19" s="135"/>
      <c r="I19" s="136"/>
      <c r="J19" s="136"/>
    </row>
    <row r="20" spans="1:10" ht="27" customHeight="1">
      <c r="A20" s="133" t="s">
        <v>1423</v>
      </c>
      <c r="B20" s="134">
        <f>B18/B19*1000</f>
        <v>361656.52173913043</v>
      </c>
      <c r="C20" s="134" t="e">
        <f>C18/C19*1000</f>
        <v>#REF!</v>
      </c>
      <c r="D20" s="135"/>
      <c r="E20" s="135"/>
      <c r="F20" s="135"/>
      <c r="G20" s="135"/>
      <c r="H20" s="135"/>
      <c r="I20" s="136"/>
      <c r="J20" s="136"/>
    </row>
    <row r="21" spans="1:10" ht="27" customHeight="1">
      <c r="A21" s="133" t="s">
        <v>405</v>
      </c>
      <c r="B21" s="849">
        <f>1546+1867+13902</f>
        <v>17315</v>
      </c>
      <c r="C21" s="849">
        <f>480+1050</f>
        <v>1530</v>
      </c>
      <c r="D21" s="135"/>
      <c r="E21" s="135"/>
      <c r="F21" s="135"/>
      <c r="G21" s="135"/>
      <c r="H21" s="135"/>
      <c r="I21" s="138"/>
      <c r="J21" s="136"/>
    </row>
    <row r="22" spans="1:8" ht="27" customHeight="1">
      <c r="A22" s="133" t="s">
        <v>1424</v>
      </c>
      <c r="B22" s="849">
        <v>111</v>
      </c>
      <c r="C22" s="849">
        <v>14</v>
      </c>
      <c r="D22" s="137"/>
      <c r="E22" s="137"/>
      <c r="F22" s="137"/>
      <c r="G22" s="137"/>
      <c r="H22" s="137"/>
    </row>
    <row r="23" spans="1:8" ht="27" customHeight="1">
      <c r="A23" s="133" t="s">
        <v>1426</v>
      </c>
      <c r="B23" s="134">
        <f>B21/B22*1000</f>
        <v>155990.99099099098</v>
      </c>
      <c r="C23" s="134">
        <f>C21/C22*1000</f>
        <v>109285.71428571429</v>
      </c>
      <c r="D23" s="137"/>
      <c r="E23" s="137"/>
      <c r="F23" s="137"/>
      <c r="G23" s="137"/>
      <c r="H23" s="137"/>
    </row>
    <row r="24" spans="1:3" ht="27" customHeight="1">
      <c r="A24" s="133" t="s">
        <v>1425</v>
      </c>
      <c r="B24" s="134">
        <f>B20-B23</f>
        <v>205665.53074813946</v>
      </c>
      <c r="C24" s="134" t="e">
        <f>C20-C23</f>
        <v>#REF!</v>
      </c>
    </row>
    <row r="25" spans="1:3" ht="27" customHeight="1">
      <c r="A25" s="133" t="s">
        <v>808</v>
      </c>
      <c r="B25" s="134">
        <f>B24</f>
        <v>205665.53074813946</v>
      </c>
      <c r="C25" s="134" t="e">
        <f>C24</f>
        <v>#REF!</v>
      </c>
    </row>
    <row r="26" spans="1:8" s="44" customFormat="1" ht="54.75" customHeight="1">
      <c r="A26" s="132" t="s">
        <v>1432</v>
      </c>
      <c r="B26" s="332" t="s">
        <v>355</v>
      </c>
      <c r="C26" s="333" t="s">
        <v>360</v>
      </c>
      <c r="D26" s="132" t="s">
        <v>359</v>
      </c>
      <c r="E26" s="333" t="s">
        <v>361</v>
      </c>
      <c r="F26" s="333" t="s">
        <v>656</v>
      </c>
      <c r="G26" s="132" t="s">
        <v>354</v>
      </c>
      <c r="H26" s="132" t="s">
        <v>362</v>
      </c>
    </row>
    <row r="27" spans="1:9" ht="27" customHeight="1">
      <c r="A27" s="133" t="s">
        <v>827</v>
      </c>
      <c r="B27" s="138">
        <v>12</v>
      </c>
      <c r="C27" s="134">
        <f>B25*B27</f>
        <v>2467986.3689776734</v>
      </c>
      <c r="D27" s="138">
        <v>7</v>
      </c>
      <c r="E27" s="134" t="e">
        <f>D27*C25</f>
        <v>#REF!</v>
      </c>
      <c r="F27" s="134" t="e">
        <f>C27+E27</f>
        <v>#REF!</v>
      </c>
      <c r="G27" s="134">
        <v>3900093</v>
      </c>
      <c r="H27" s="134" t="e">
        <f>F27+G27</f>
        <v>#REF!</v>
      </c>
      <c r="I27" s="368" t="s">
        <v>794</v>
      </c>
    </row>
    <row r="28" spans="1:8" ht="27" customHeight="1">
      <c r="A28" s="133" t="s">
        <v>831</v>
      </c>
      <c r="B28" s="138">
        <v>0</v>
      </c>
      <c r="C28" s="134">
        <f>B25*B28</f>
        <v>0</v>
      </c>
      <c r="D28" s="138">
        <v>0</v>
      </c>
      <c r="E28" s="134"/>
      <c r="F28" s="134">
        <f aca="true" t="shared" si="0" ref="F28:F36">C28+E28</f>
        <v>0</v>
      </c>
      <c r="G28" s="134">
        <v>0</v>
      </c>
      <c r="H28" s="134">
        <f aca="true" t="shared" si="1" ref="H28:H35">F28+G28</f>
        <v>0</v>
      </c>
    </row>
    <row r="29" spans="1:8" ht="27" customHeight="1">
      <c r="A29" s="133" t="s">
        <v>349</v>
      </c>
      <c r="B29" s="138">
        <v>10</v>
      </c>
      <c r="C29" s="134">
        <f>B25*B29</f>
        <v>2056655.3074813946</v>
      </c>
      <c r="D29" s="138">
        <v>0</v>
      </c>
      <c r="E29" s="134"/>
      <c r="F29" s="134">
        <f t="shared" si="0"/>
        <v>2056655.3074813946</v>
      </c>
      <c r="G29" s="134">
        <v>265162</v>
      </c>
      <c r="H29" s="134">
        <f t="shared" si="1"/>
        <v>2321817.3074813946</v>
      </c>
    </row>
    <row r="30" spans="1:8" ht="27" customHeight="1">
      <c r="A30" s="133" t="s">
        <v>350</v>
      </c>
      <c r="B30" s="138">
        <v>15</v>
      </c>
      <c r="C30" s="134">
        <f>B25*B30</f>
        <v>3084982.9612220917</v>
      </c>
      <c r="D30" s="138">
        <v>0</v>
      </c>
      <c r="E30" s="134"/>
      <c r="F30" s="134">
        <f t="shared" si="0"/>
        <v>3084982.9612220917</v>
      </c>
      <c r="G30" s="134">
        <v>146385</v>
      </c>
      <c r="H30" s="134">
        <f t="shared" si="1"/>
        <v>3231367.9612220917</v>
      </c>
    </row>
    <row r="31" spans="1:8" ht="27" customHeight="1">
      <c r="A31" s="133" t="s">
        <v>351</v>
      </c>
      <c r="B31" s="138">
        <v>5</v>
      </c>
      <c r="C31" s="134">
        <f>B25*B31</f>
        <v>1028327.6537406973</v>
      </c>
      <c r="D31" s="138">
        <v>0</v>
      </c>
      <c r="E31" s="134"/>
      <c r="F31" s="134">
        <f t="shared" si="0"/>
        <v>1028327.6537406973</v>
      </c>
      <c r="G31" s="134">
        <v>0</v>
      </c>
      <c r="H31" s="134">
        <f t="shared" si="1"/>
        <v>1028327.6537406973</v>
      </c>
    </row>
    <row r="32" spans="1:8" ht="27" customHeight="1">
      <c r="A32" s="133" t="s">
        <v>352</v>
      </c>
      <c r="B32" s="138">
        <f>1+1</f>
        <v>2</v>
      </c>
      <c r="C32" s="134">
        <f>B25*B32</f>
        <v>411331.0614962789</v>
      </c>
      <c r="D32" s="138">
        <v>0</v>
      </c>
      <c r="E32" s="134"/>
      <c r="F32" s="134">
        <f t="shared" si="0"/>
        <v>411331.0614962789</v>
      </c>
      <c r="G32" s="134">
        <v>-43313</v>
      </c>
      <c r="H32" s="134">
        <f t="shared" si="1"/>
        <v>368018.0614962789</v>
      </c>
    </row>
    <row r="33" spans="1:8" ht="27" customHeight="1">
      <c r="A33" s="133" t="s">
        <v>828</v>
      </c>
      <c r="B33" s="138">
        <f>5+9</f>
        <v>14</v>
      </c>
      <c r="C33" s="134">
        <f>B25*B33</f>
        <v>2879317.4304739526</v>
      </c>
      <c r="D33" s="138">
        <v>7</v>
      </c>
      <c r="E33" s="134" t="e">
        <f>D33*C25</f>
        <v>#REF!</v>
      </c>
      <c r="F33" s="134" t="e">
        <f t="shared" si="0"/>
        <v>#REF!</v>
      </c>
      <c r="G33" s="134">
        <v>0</v>
      </c>
      <c r="H33" s="134" t="e">
        <f t="shared" si="1"/>
        <v>#REF!</v>
      </c>
    </row>
    <row r="34" spans="1:8" ht="27" customHeight="1">
      <c r="A34" s="133" t="s">
        <v>829</v>
      </c>
      <c r="B34" s="138">
        <v>36</v>
      </c>
      <c r="C34" s="134">
        <f>B34*B25</f>
        <v>7403959.10693302</v>
      </c>
      <c r="D34" s="138">
        <v>0</v>
      </c>
      <c r="E34" s="134"/>
      <c r="F34" s="134">
        <f t="shared" si="0"/>
        <v>7403959.10693302</v>
      </c>
      <c r="G34" s="134">
        <v>2074047</v>
      </c>
      <c r="H34" s="134">
        <f t="shared" si="1"/>
        <v>9478006.10693302</v>
      </c>
    </row>
    <row r="35" spans="1:8" ht="27" customHeight="1">
      <c r="A35" s="133" t="s">
        <v>353</v>
      </c>
      <c r="B35" s="138">
        <v>17</v>
      </c>
      <c r="C35" s="134">
        <f>B25*B35</f>
        <v>3496314.022718371</v>
      </c>
      <c r="D35" s="138">
        <v>0</v>
      </c>
      <c r="E35" s="134"/>
      <c r="F35" s="134">
        <f t="shared" si="0"/>
        <v>3496314.022718371</v>
      </c>
      <c r="G35" s="134">
        <v>0</v>
      </c>
      <c r="H35" s="134">
        <f t="shared" si="1"/>
        <v>3496314.022718371</v>
      </c>
    </row>
    <row r="36" spans="1:8" ht="27" customHeight="1">
      <c r="A36" s="133" t="s">
        <v>1027</v>
      </c>
      <c r="B36" s="134">
        <f aca="true" t="shared" si="2" ref="B36:H36">B27+B28+B29+B30+B31+B32+B33+B34+B35</f>
        <v>111</v>
      </c>
      <c r="C36" s="134">
        <f t="shared" si="2"/>
        <v>22828873.913043477</v>
      </c>
      <c r="D36" s="134">
        <f t="shared" si="2"/>
        <v>14</v>
      </c>
      <c r="E36" s="134" t="e">
        <f t="shared" si="2"/>
        <v>#REF!</v>
      </c>
      <c r="F36" s="134" t="e">
        <f t="shared" si="0"/>
        <v>#REF!</v>
      </c>
      <c r="G36" s="134">
        <f t="shared" si="2"/>
        <v>6342374</v>
      </c>
      <c r="H36" s="399" t="e">
        <f t="shared" si="2"/>
        <v>#REF!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6"/>
  </sheetPr>
  <dimension ref="A1:F17"/>
  <sheetViews>
    <sheetView zoomScalePageLayoutView="0" workbookViewId="0" topLeftCell="A1">
      <selection activeCell="G16" sqref="G16"/>
    </sheetView>
  </sheetViews>
  <sheetFormatPr defaultColWidth="30.7109375" defaultRowHeight="34.5" customHeight="1"/>
  <cols>
    <col min="1" max="1" width="30.7109375" style="179" customWidth="1"/>
    <col min="2" max="2" width="9.57421875" style="330" bestFit="1" customWidth="1"/>
    <col min="3" max="3" width="18.28125" style="179" customWidth="1"/>
    <col min="4" max="4" width="21.7109375" style="179" customWidth="1"/>
    <col min="5" max="5" width="16.421875" style="179" customWidth="1"/>
    <col min="6" max="6" width="16.00390625" style="330" bestFit="1" customWidth="1"/>
    <col min="7" max="16384" width="30.7109375" style="179" customWidth="1"/>
  </cols>
  <sheetData>
    <row r="1" spans="2:4" ht="34.5" customHeight="1">
      <c r="B1" s="1436" t="s">
        <v>213</v>
      </c>
      <c r="C1" s="1437"/>
      <c r="D1" s="1437"/>
    </row>
    <row r="2" ht="19.5" customHeight="1" thickBot="1"/>
    <row r="3" spans="1:6" ht="19.5" customHeight="1" thickBot="1">
      <c r="A3" s="1023" t="s">
        <v>214</v>
      </c>
      <c r="B3" s="1024"/>
      <c r="C3" s="1024" t="s">
        <v>215</v>
      </c>
      <c r="D3" s="1024"/>
      <c r="E3" s="1024"/>
      <c r="F3" s="1024"/>
    </row>
    <row r="4" spans="1:6" ht="19.5" customHeight="1" thickBot="1">
      <c r="A4" s="1025" t="s">
        <v>216</v>
      </c>
      <c r="B4" s="1026"/>
      <c r="C4" s="1026" t="s">
        <v>217</v>
      </c>
      <c r="D4" s="1026"/>
      <c r="E4" s="1026"/>
      <c r="F4" s="1026"/>
    </row>
    <row r="5" spans="1:6" ht="19.5" customHeight="1" thickBot="1">
      <c r="A5" s="1025" t="s">
        <v>218</v>
      </c>
      <c r="B5" s="1026"/>
      <c r="C5" s="1027">
        <v>13934161</v>
      </c>
      <c r="D5" s="1026"/>
      <c r="E5" s="1026"/>
      <c r="F5" s="1026"/>
    </row>
    <row r="6" spans="1:6" ht="19.5" customHeight="1" thickBot="1">
      <c r="A6" s="1025"/>
      <c r="B6" s="1026"/>
      <c r="C6" s="1026"/>
      <c r="D6" s="1026"/>
      <c r="E6" s="1026"/>
      <c r="F6" s="1026"/>
    </row>
    <row r="7" spans="1:6" ht="19.5" customHeight="1" thickBot="1">
      <c r="A7" s="1028" t="s">
        <v>219</v>
      </c>
      <c r="B7" s="1029" t="s">
        <v>1010</v>
      </c>
      <c r="C7" s="1029" t="s">
        <v>220</v>
      </c>
      <c r="D7" s="1029" t="s">
        <v>221</v>
      </c>
      <c r="E7" s="1029" t="s">
        <v>1027</v>
      </c>
      <c r="F7" s="1029" t="s">
        <v>222</v>
      </c>
    </row>
    <row r="8" spans="1:6" ht="19.5" customHeight="1" thickBot="1">
      <c r="A8" s="1028" t="s">
        <v>349</v>
      </c>
      <c r="B8" s="1030">
        <v>248</v>
      </c>
      <c r="C8" s="1027">
        <v>1000000</v>
      </c>
      <c r="D8" s="1027">
        <v>1106610</v>
      </c>
      <c r="E8" s="1031">
        <v>2106610</v>
      </c>
      <c r="F8" s="1027">
        <v>175551</v>
      </c>
    </row>
    <row r="9" spans="1:6" ht="19.5" customHeight="1" thickBot="1">
      <c r="A9" s="1028" t="s">
        <v>350</v>
      </c>
      <c r="B9" s="1030">
        <v>318</v>
      </c>
      <c r="C9" s="1027">
        <v>1000000</v>
      </c>
      <c r="D9" s="1027">
        <v>1418960</v>
      </c>
      <c r="E9" s="1032">
        <v>2418960</v>
      </c>
      <c r="F9" s="1027">
        <v>201580</v>
      </c>
    </row>
    <row r="10" spans="1:6" ht="19.5" customHeight="1" thickBot="1">
      <c r="A10" s="1028" t="s">
        <v>351</v>
      </c>
      <c r="B10" s="1030">
        <v>94</v>
      </c>
      <c r="C10" s="1027">
        <v>1000000</v>
      </c>
      <c r="D10" s="1027">
        <v>419441</v>
      </c>
      <c r="E10" s="1032">
        <v>1419441</v>
      </c>
      <c r="F10" s="1027">
        <v>118287</v>
      </c>
    </row>
    <row r="11" spans="1:6" ht="19.5" customHeight="1" thickBot="1">
      <c r="A11" s="1028" t="s">
        <v>352</v>
      </c>
      <c r="B11" s="1030">
        <v>104</v>
      </c>
      <c r="C11" s="1027">
        <v>1000000</v>
      </c>
      <c r="D11" s="1027">
        <v>464062</v>
      </c>
      <c r="E11" s="1032">
        <v>1464062</v>
      </c>
      <c r="F11" s="1027">
        <v>122005</v>
      </c>
    </row>
    <row r="12" spans="1:6" ht="19.5" customHeight="1" thickBot="1">
      <c r="A12" s="1028" t="s">
        <v>828</v>
      </c>
      <c r="B12" s="1030">
        <v>190</v>
      </c>
      <c r="C12" s="1027">
        <v>1000000</v>
      </c>
      <c r="D12" s="1027">
        <v>847806</v>
      </c>
      <c r="E12" s="1032">
        <v>1847806</v>
      </c>
      <c r="F12" s="1027">
        <v>153984</v>
      </c>
    </row>
    <row r="13" spans="1:6" ht="19.5" customHeight="1" thickBot="1">
      <c r="A13" s="1028" t="s">
        <v>829</v>
      </c>
      <c r="B13" s="1030">
        <v>429</v>
      </c>
      <c r="C13" s="1027">
        <v>1000000</v>
      </c>
      <c r="D13" s="1027">
        <v>1914257</v>
      </c>
      <c r="E13" s="1032">
        <v>2914257</v>
      </c>
      <c r="F13" s="1027">
        <v>242855</v>
      </c>
    </row>
    <row r="14" spans="1:6" ht="19.5" customHeight="1" thickBot="1">
      <c r="A14" s="1028" t="s">
        <v>827</v>
      </c>
      <c r="B14" s="1030">
        <v>171</v>
      </c>
      <c r="C14" s="1027">
        <v>1000000</v>
      </c>
      <c r="D14" s="1027">
        <v>763025</v>
      </c>
      <c r="E14" s="1031">
        <v>1763025</v>
      </c>
      <c r="F14" s="1027">
        <v>146919</v>
      </c>
    </row>
    <row r="15" spans="1:6" ht="19.5" customHeight="1" thickBot="1">
      <c r="A15" s="1028" t="s">
        <v>1027</v>
      </c>
      <c r="B15" s="1030">
        <v>1554</v>
      </c>
      <c r="C15" s="1027">
        <v>7000000</v>
      </c>
      <c r="D15" s="1027">
        <v>6934161</v>
      </c>
      <c r="E15" s="1031">
        <v>13934161</v>
      </c>
      <c r="F15" s="1031">
        <v>1161180</v>
      </c>
    </row>
    <row r="16" spans="1:6" ht="19.5" customHeight="1" thickBot="1">
      <c r="A16" s="1025" t="s">
        <v>223</v>
      </c>
      <c r="B16" s="1026"/>
      <c r="C16" s="1027">
        <v>6934161</v>
      </c>
      <c r="D16" s="1026"/>
      <c r="E16" s="1026"/>
      <c r="F16" s="1026"/>
    </row>
    <row r="17" spans="1:6" ht="19.5" customHeight="1" thickBot="1">
      <c r="A17" s="1025"/>
      <c r="B17" s="1026"/>
      <c r="C17" s="1026"/>
      <c r="D17" s="1026"/>
      <c r="E17" s="1026"/>
      <c r="F17" s="1026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8515625" style="0" customWidth="1"/>
  </cols>
  <sheetData>
    <row r="1" spans="1:2" ht="12.75">
      <c r="A1" s="1200" t="s">
        <v>406</v>
      </c>
      <c r="B1" s="1200"/>
    </row>
    <row r="2" spans="1:2" ht="13.5" thickBot="1">
      <c r="A2" s="682"/>
      <c r="B2" s="682"/>
    </row>
    <row r="3" spans="1:2" ht="13.5" thickBot="1">
      <c r="A3" s="683" t="s">
        <v>407</v>
      </c>
      <c r="B3" s="684" t="s">
        <v>922</v>
      </c>
    </row>
    <row r="4" spans="1:2" ht="12.75">
      <c r="A4" s="1071" t="s">
        <v>481</v>
      </c>
      <c r="B4" s="508">
        <v>1450</v>
      </c>
    </row>
    <row r="5" spans="1:2" ht="12.75">
      <c r="A5" s="1071" t="s">
        <v>481</v>
      </c>
      <c r="B5" s="508">
        <v>270</v>
      </c>
    </row>
    <row r="6" spans="1:6" ht="12.75">
      <c r="A6" s="14" t="s">
        <v>482</v>
      </c>
      <c r="B6" s="7">
        <v>59537</v>
      </c>
      <c r="F6" s="207"/>
    </row>
    <row r="7" spans="1:6" ht="12.75">
      <c r="A7" s="14" t="s">
        <v>494</v>
      </c>
      <c r="B7" s="7">
        <v>7505</v>
      </c>
      <c r="F7" s="207"/>
    </row>
    <row r="8" spans="1:6" ht="12.75">
      <c r="A8" s="14"/>
      <c r="B8" s="7"/>
      <c r="F8" s="207"/>
    </row>
    <row r="9" spans="1:6" ht="12.75">
      <c r="A9" s="6" t="s">
        <v>346</v>
      </c>
      <c r="B9" s="7">
        <v>0</v>
      </c>
      <c r="F9" s="207"/>
    </row>
    <row r="10" spans="1:6" ht="12.75">
      <c r="A10" s="6"/>
      <c r="B10" s="7"/>
      <c r="F10" s="207"/>
    </row>
    <row r="11" spans="1:6" ht="12.75">
      <c r="A11" s="6"/>
      <c r="B11" s="7"/>
      <c r="F11" s="207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3.5" thickBot="1">
      <c r="A19" s="169"/>
      <c r="B19" s="344"/>
    </row>
    <row r="20" spans="1:2" ht="13.5" thickBot="1">
      <c r="A20" s="583" t="s">
        <v>1027</v>
      </c>
      <c r="B20" s="685">
        <f>SUM(B4:B19)</f>
        <v>68762</v>
      </c>
    </row>
    <row r="22" spans="1:2" ht="12.75">
      <c r="A22" t="s">
        <v>246</v>
      </c>
      <c r="B22" s="10"/>
    </row>
    <row r="24" spans="1:3" ht="12.75">
      <c r="A24" s="6" t="s">
        <v>247</v>
      </c>
      <c r="B24" s="6"/>
      <c r="C24">
        <v>496</v>
      </c>
    </row>
    <row r="25" spans="1:3" ht="12.75">
      <c r="A25" s="6" t="s">
        <v>248</v>
      </c>
      <c r="B25" s="6"/>
      <c r="C2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O31"/>
  <sheetViews>
    <sheetView view="pageBreakPreview" zoomScaleSheetLayoutView="100" zoomScalePageLayoutView="0" workbookViewId="0" topLeftCell="A1">
      <pane xSplit="1" topLeftCell="X1" activePane="topRight" state="frozen"/>
      <selection pane="topLeft" activeCell="A1" sqref="A1"/>
      <selection pane="topRight" activeCell="AL1" sqref="AL1"/>
    </sheetView>
  </sheetViews>
  <sheetFormatPr defaultColWidth="9.140625" defaultRowHeight="12.75"/>
  <cols>
    <col min="1" max="1" width="29.140625" style="0" customWidth="1"/>
    <col min="2" max="2" width="10.421875" style="0" customWidth="1"/>
    <col min="3" max="3" width="9.28125" style="0" customWidth="1"/>
    <col min="4" max="4" width="9.7109375" style="0" customWidth="1"/>
    <col min="5" max="5" width="9.00390625" style="0" customWidth="1"/>
    <col min="6" max="6" width="10.28125" style="0" customWidth="1"/>
    <col min="7" max="7" width="8.57421875" style="0" customWidth="1"/>
    <col min="8" max="8" width="8.7109375" style="0" customWidth="1"/>
    <col min="9" max="9" width="8.28125" style="0" customWidth="1"/>
    <col min="10" max="10" width="10.421875" style="0" customWidth="1"/>
    <col min="11" max="11" width="10.7109375" style="0" customWidth="1"/>
    <col min="12" max="12" width="9.8515625" style="0" customWidth="1"/>
    <col min="13" max="13" width="9.7109375" style="0" customWidth="1"/>
    <col min="14" max="14" width="9.140625" style="0" customWidth="1"/>
    <col min="15" max="16" width="8.8515625" style="0" customWidth="1"/>
    <col min="17" max="17" width="8.28125" style="0" customWidth="1"/>
    <col min="18" max="18" width="9.8515625" style="0" customWidth="1"/>
    <col min="19" max="19" width="8.57421875" style="0" customWidth="1"/>
    <col min="20" max="21" width="9.00390625" style="0" customWidth="1"/>
    <col min="22" max="23" width="8.421875" style="0" customWidth="1"/>
    <col min="24" max="24" width="9.57421875" style="0" customWidth="1"/>
    <col min="25" max="25" width="9.8515625" style="0" customWidth="1"/>
    <col min="26" max="26" width="9.57421875" style="0" customWidth="1"/>
    <col min="27" max="27" width="8.8515625" style="0" customWidth="1"/>
    <col min="28" max="28" width="8.7109375" style="0" customWidth="1"/>
    <col min="29" max="29" width="7.8515625" style="0" customWidth="1"/>
    <col min="30" max="30" width="9.28125" style="0" customWidth="1"/>
    <col min="31" max="31" width="9.7109375" style="0" customWidth="1"/>
    <col min="32" max="32" width="9.00390625" style="0" customWidth="1"/>
    <col min="33" max="33" width="6.00390625" style="0" customWidth="1"/>
    <col min="34" max="34" width="9.8515625" style="0" customWidth="1"/>
    <col min="35" max="35" width="11.28125" style="0" customWidth="1"/>
    <col min="36" max="36" width="9.421875" style="0" customWidth="1"/>
    <col min="37" max="37" width="8.421875" style="0" customWidth="1"/>
    <col min="38" max="38" width="7.7109375" style="0" customWidth="1"/>
    <col min="39" max="40" width="8.57421875" style="0" customWidth="1"/>
    <col min="41" max="41" width="8.8515625" style="0" customWidth="1"/>
  </cols>
  <sheetData>
    <row r="1" spans="35:41" ht="12.75">
      <c r="AI1" s="865"/>
      <c r="AJ1" s="865"/>
      <c r="AK1" s="865"/>
      <c r="AL1" s="865"/>
      <c r="AM1" s="865"/>
      <c r="AN1" s="1261" t="s">
        <v>1527</v>
      </c>
      <c r="AO1" s="1261"/>
    </row>
    <row r="2" spans="1:39" ht="12.75">
      <c r="A2" s="1214"/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1214"/>
      <c r="AM2" s="1214"/>
    </row>
    <row r="3" spans="1:41" ht="38.25" customHeight="1">
      <c r="A3" s="1213" t="s">
        <v>1534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1213"/>
      <c r="R3" s="1213"/>
      <c r="S3" s="1213"/>
      <c r="T3" s="1213"/>
      <c r="U3" s="1213"/>
      <c r="V3" s="1213"/>
      <c r="W3" s="1213"/>
      <c r="X3" s="1213"/>
      <c r="Y3" s="1213"/>
      <c r="Z3" s="1213"/>
      <c r="AA3" s="1213"/>
      <c r="AB3" s="1213"/>
      <c r="AC3" s="1213"/>
      <c r="AD3" s="1213"/>
      <c r="AE3" s="1213"/>
      <c r="AF3" s="1213"/>
      <c r="AG3" s="1213"/>
      <c r="AH3" s="1213"/>
      <c r="AI3" s="1213"/>
      <c r="AJ3" s="1213"/>
      <c r="AK3" s="1213"/>
      <c r="AL3" s="1213"/>
      <c r="AM3" s="1213"/>
      <c r="AN3" s="1213"/>
      <c r="AO3" s="1213"/>
    </row>
    <row r="4" spans="35:41" ht="12.75">
      <c r="AI4" s="1467"/>
      <c r="AJ4" s="1467"/>
      <c r="AK4" s="1467"/>
      <c r="AL4" s="1467"/>
      <c r="AM4" s="1467"/>
      <c r="AN4" s="1468" t="s">
        <v>161</v>
      </c>
      <c r="AO4" s="1468"/>
    </row>
    <row r="5" spans="1:41" ht="12.75" customHeight="1">
      <c r="A5" s="1262" t="s">
        <v>1021</v>
      </c>
      <c r="B5" s="1263" t="s">
        <v>1023</v>
      </c>
      <c r="C5" s="1264"/>
      <c r="D5" s="1264"/>
      <c r="E5" s="1265"/>
      <c r="F5" s="1263" t="s">
        <v>1011</v>
      </c>
      <c r="G5" s="1264"/>
      <c r="H5" s="1264"/>
      <c r="I5" s="1265"/>
      <c r="J5" s="1263" t="s">
        <v>1022</v>
      </c>
      <c r="K5" s="1264"/>
      <c r="L5" s="1264"/>
      <c r="M5" s="1265"/>
      <c r="N5" s="1263" t="s">
        <v>1013</v>
      </c>
      <c r="O5" s="1264"/>
      <c r="P5" s="1264"/>
      <c r="Q5" s="1265"/>
      <c r="R5" s="1221" t="s">
        <v>1279</v>
      </c>
      <c r="S5" s="1222"/>
      <c r="T5" s="1222"/>
      <c r="U5" s="1222"/>
      <c r="V5" s="1222"/>
      <c r="W5" s="746"/>
      <c r="X5" s="746"/>
      <c r="Y5" s="746"/>
      <c r="Z5" s="1201" t="s">
        <v>533</v>
      </c>
      <c r="AA5" s="1202"/>
      <c r="AB5" s="1202"/>
      <c r="AC5" s="1203"/>
      <c r="AD5" s="1263" t="s">
        <v>1019</v>
      </c>
      <c r="AE5" s="1264"/>
      <c r="AF5" s="1264"/>
      <c r="AG5" s="1265"/>
      <c r="AH5" s="1201" t="s">
        <v>1024</v>
      </c>
      <c r="AI5" s="1202"/>
      <c r="AJ5" s="1202"/>
      <c r="AK5" s="1203"/>
      <c r="AL5" s="1263" t="s">
        <v>1010</v>
      </c>
      <c r="AM5" s="1264"/>
      <c r="AN5" s="1264"/>
      <c r="AO5" s="1265"/>
    </row>
    <row r="6" spans="1:41" ht="39" customHeight="1">
      <c r="A6" s="1262"/>
      <c r="B6" s="1266"/>
      <c r="C6" s="1267"/>
      <c r="D6" s="1267"/>
      <c r="E6" s="1268"/>
      <c r="F6" s="1266"/>
      <c r="G6" s="1267"/>
      <c r="H6" s="1267"/>
      <c r="I6" s="1268"/>
      <c r="J6" s="1266"/>
      <c r="K6" s="1267"/>
      <c r="L6" s="1267"/>
      <c r="M6" s="1268"/>
      <c r="N6" s="1266"/>
      <c r="O6" s="1267"/>
      <c r="P6" s="1267"/>
      <c r="Q6" s="1268"/>
      <c r="R6" s="1275" t="s">
        <v>262</v>
      </c>
      <c r="S6" s="1276"/>
      <c r="T6" s="1276"/>
      <c r="U6" s="1277"/>
      <c r="V6" s="1218" t="s">
        <v>277</v>
      </c>
      <c r="W6" s="1219"/>
      <c r="X6" s="1219"/>
      <c r="Y6" s="1220"/>
      <c r="Z6" s="1204"/>
      <c r="AA6" s="1205"/>
      <c r="AB6" s="1205"/>
      <c r="AC6" s="1206"/>
      <c r="AD6" s="1266"/>
      <c r="AE6" s="1267"/>
      <c r="AF6" s="1267"/>
      <c r="AG6" s="1268"/>
      <c r="AH6" s="1204"/>
      <c r="AI6" s="1205"/>
      <c r="AJ6" s="1205"/>
      <c r="AK6" s="1206"/>
      <c r="AL6" s="1266"/>
      <c r="AM6" s="1267"/>
      <c r="AN6" s="1267"/>
      <c r="AO6" s="1268"/>
    </row>
    <row r="7" spans="1:41" ht="24" customHeight="1">
      <c r="A7" s="1262"/>
      <c r="B7" s="147" t="s">
        <v>1012</v>
      </c>
      <c r="C7" s="147" t="s">
        <v>1103</v>
      </c>
      <c r="D7" s="147" t="s">
        <v>1528</v>
      </c>
      <c r="E7" s="147" t="s">
        <v>1529</v>
      </c>
      <c r="F7" s="147" t="s">
        <v>1012</v>
      </c>
      <c r="G7" s="147" t="s">
        <v>1103</v>
      </c>
      <c r="H7" s="147" t="s">
        <v>1528</v>
      </c>
      <c r="I7" s="147" t="s">
        <v>1529</v>
      </c>
      <c r="J7" s="147" t="s">
        <v>1012</v>
      </c>
      <c r="K7" s="147" t="s">
        <v>1103</v>
      </c>
      <c r="L7" s="147" t="s">
        <v>1528</v>
      </c>
      <c r="M7" s="147" t="s">
        <v>1529</v>
      </c>
      <c r="N7" s="147" t="s">
        <v>1012</v>
      </c>
      <c r="O7" s="147" t="s">
        <v>1103</v>
      </c>
      <c r="P7" s="147" t="s">
        <v>1528</v>
      </c>
      <c r="Q7" s="147" t="s">
        <v>1529</v>
      </c>
      <c r="R7" s="147" t="s">
        <v>1012</v>
      </c>
      <c r="S7" s="147" t="s">
        <v>1103</v>
      </c>
      <c r="T7" s="147" t="s">
        <v>1528</v>
      </c>
      <c r="U7" s="147" t="s">
        <v>1529</v>
      </c>
      <c r="V7" s="147" t="s">
        <v>1012</v>
      </c>
      <c r="W7" s="147" t="s">
        <v>1103</v>
      </c>
      <c r="X7" s="147" t="s">
        <v>1528</v>
      </c>
      <c r="Y7" s="147" t="s">
        <v>1529</v>
      </c>
      <c r="Z7" s="147" t="s">
        <v>1012</v>
      </c>
      <c r="AA7" s="147" t="s">
        <v>1103</v>
      </c>
      <c r="AB7" s="147" t="s">
        <v>1528</v>
      </c>
      <c r="AC7" s="147" t="s">
        <v>1529</v>
      </c>
      <c r="AD7" s="147" t="s">
        <v>1012</v>
      </c>
      <c r="AE7" s="147" t="s">
        <v>1103</v>
      </c>
      <c r="AF7" s="147" t="s">
        <v>1528</v>
      </c>
      <c r="AG7" s="147" t="s">
        <v>1529</v>
      </c>
      <c r="AH7" s="147" t="s">
        <v>1012</v>
      </c>
      <c r="AI7" s="147" t="s">
        <v>1103</v>
      </c>
      <c r="AJ7" s="147" t="s">
        <v>1528</v>
      </c>
      <c r="AK7" s="147" t="s">
        <v>1529</v>
      </c>
      <c r="AL7" s="147" t="s">
        <v>1488</v>
      </c>
      <c r="AM7" s="189" t="s">
        <v>264</v>
      </c>
      <c r="AN7" s="189" t="s">
        <v>1528</v>
      </c>
      <c r="AO7" s="189" t="s">
        <v>1529</v>
      </c>
    </row>
    <row r="8" spans="1:41" s="89" customFormat="1" ht="12.75" customHeight="1">
      <c r="A8" s="762" t="s">
        <v>1076</v>
      </c>
      <c r="B8" s="763">
        <v>50864</v>
      </c>
      <c r="C8" s="763">
        <v>50864</v>
      </c>
      <c r="D8" s="763">
        <v>29118</v>
      </c>
      <c r="E8" s="1130">
        <f>D8/C8</f>
        <v>0.5724677571563385</v>
      </c>
      <c r="F8" s="763">
        <v>13672</v>
      </c>
      <c r="G8" s="763">
        <v>13672</v>
      </c>
      <c r="H8" s="763">
        <v>7224</v>
      </c>
      <c r="I8" s="1130">
        <f>H8/G8</f>
        <v>0.5283791691047396</v>
      </c>
      <c r="J8" s="763">
        <f>18744+18000</f>
        <v>36744</v>
      </c>
      <c r="K8" s="763">
        <f>18744+18000</f>
        <v>36744</v>
      </c>
      <c r="L8" s="763">
        <v>26150</v>
      </c>
      <c r="M8" s="1130">
        <f>L8/K8</f>
        <v>0.7116808186370563</v>
      </c>
      <c r="N8" s="763"/>
      <c r="O8" s="763"/>
      <c r="P8" s="763">
        <v>21</v>
      </c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>
        <f aca="true" t="shared" si="0" ref="AH8:AH18">+B8+F8+J8+N8+R8+V8+Z8+AD8</f>
        <v>101280</v>
      </c>
      <c r="AI8" s="763">
        <f aca="true" t="shared" si="1" ref="AI8:AI18">+C8+G8+K8+O8+S8+W8+AA8+AE8</f>
        <v>101280</v>
      </c>
      <c r="AJ8" s="763">
        <f aca="true" t="shared" si="2" ref="AJ8:AJ18">+D8+H8+L8+P8+T8+X8+AB8+AF8</f>
        <v>62513</v>
      </c>
      <c r="AK8" s="1130">
        <f>AJ8/AI8</f>
        <v>0.6172294628751974</v>
      </c>
      <c r="AL8" s="1089">
        <v>26</v>
      </c>
      <c r="AM8" s="1089">
        <v>26</v>
      </c>
      <c r="AN8" s="1182">
        <v>26</v>
      </c>
      <c r="AO8" s="1178">
        <f>AN8/AM8</f>
        <v>1</v>
      </c>
    </row>
    <row r="9" spans="1:41" s="10" customFormat="1" ht="12.75">
      <c r="A9" s="191" t="s">
        <v>278</v>
      </c>
      <c r="B9" s="58">
        <f aca="true" t="shared" si="3" ref="B9:L9">+B10+B12+B11</f>
        <v>20128</v>
      </c>
      <c r="C9" s="58">
        <f t="shared" si="3"/>
        <v>20128</v>
      </c>
      <c r="D9" s="58">
        <f t="shared" si="3"/>
        <v>7630.232</v>
      </c>
      <c r="E9" s="1130">
        <f aca="true" t="shared" si="4" ref="E9:E20">D9/C9</f>
        <v>0.37908545310015895</v>
      </c>
      <c r="F9" s="58">
        <f t="shared" si="3"/>
        <v>5180</v>
      </c>
      <c r="G9" s="58">
        <f t="shared" si="3"/>
        <v>5180</v>
      </c>
      <c r="H9" s="58">
        <f t="shared" si="3"/>
        <v>1742.0749999999998</v>
      </c>
      <c r="I9" s="1130">
        <f aca="true" t="shared" si="5" ref="I9:I20">H9/G9</f>
        <v>0.336307915057915</v>
      </c>
      <c r="J9" s="58">
        <f t="shared" si="3"/>
        <v>11834</v>
      </c>
      <c r="K9" s="58">
        <f t="shared" si="3"/>
        <v>11834</v>
      </c>
      <c r="L9" s="58">
        <f t="shared" si="3"/>
        <v>5638.275</v>
      </c>
      <c r="M9" s="1130">
        <f aca="true" t="shared" si="6" ref="M9:M20">L9/K9</f>
        <v>0.4764471015717424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>
        <f>SUM(X10:X12)</f>
        <v>250</v>
      </c>
      <c r="Y9" s="58"/>
      <c r="Z9" s="58">
        <f>+Z10+Z12</f>
        <v>0</v>
      </c>
      <c r="AA9" s="58">
        <f>+AA10+AA12</f>
        <v>0</v>
      </c>
      <c r="AB9" s="58"/>
      <c r="AC9" s="58"/>
      <c r="AD9" s="58">
        <f>+AD10+AD12</f>
        <v>0</v>
      </c>
      <c r="AE9" s="58">
        <f>+AE10+AE12</f>
        <v>0</v>
      </c>
      <c r="AF9" s="58"/>
      <c r="AG9" s="58"/>
      <c r="AH9" s="763">
        <f t="shared" si="0"/>
        <v>37142</v>
      </c>
      <c r="AI9" s="763">
        <f t="shared" si="1"/>
        <v>37142</v>
      </c>
      <c r="AJ9" s="763">
        <f t="shared" si="2"/>
        <v>15260.582</v>
      </c>
      <c r="AK9" s="1130">
        <f aca="true" t="shared" si="7" ref="AK9:AK20">AJ9/AI9</f>
        <v>0.4108713047224167</v>
      </c>
      <c r="AL9" s="88">
        <f>AL10+AL11+AL12</f>
        <v>7.75</v>
      </c>
      <c r="AM9" s="88">
        <f>AM10+AM11+AM12</f>
        <v>7.75</v>
      </c>
      <c r="AN9" s="88">
        <f>AN10+AN11+AN12</f>
        <v>7.75</v>
      </c>
      <c r="AO9" s="1178">
        <f aca="true" t="shared" si="8" ref="AO9:AO20">AN9/AM9</f>
        <v>1</v>
      </c>
    </row>
    <row r="10" spans="1:41" s="41" customFormat="1" ht="12.75">
      <c r="A10" s="193" t="s">
        <v>1117</v>
      </c>
      <c r="B10" s="194">
        <f>9830+6544</f>
        <v>16374</v>
      </c>
      <c r="C10" s="194">
        <f>9830+6544</f>
        <v>16374</v>
      </c>
      <c r="D10" s="194">
        <v>5578.545</v>
      </c>
      <c r="E10" s="1130">
        <f t="shared" si="4"/>
        <v>0.34069530963722977</v>
      </c>
      <c r="F10" s="309">
        <f>2618+1672</f>
        <v>4290</v>
      </c>
      <c r="G10" s="309">
        <f>2618+1672</f>
        <v>4290</v>
      </c>
      <c r="H10" s="309">
        <v>1324.096</v>
      </c>
      <c r="I10" s="1130">
        <f t="shared" si="5"/>
        <v>0.30864708624708626</v>
      </c>
      <c r="J10" s="194">
        <f>5535+3681-566</f>
        <v>8650</v>
      </c>
      <c r="K10" s="194">
        <f>5535+3681-566</f>
        <v>8650</v>
      </c>
      <c r="L10" s="194">
        <v>4288.369</v>
      </c>
      <c r="M10" s="1130">
        <f t="shared" si="6"/>
        <v>0.4957652023121387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>
        <v>250</v>
      </c>
      <c r="Y10" s="194"/>
      <c r="Z10" s="195"/>
      <c r="AA10" s="195"/>
      <c r="AB10" s="195"/>
      <c r="AC10" s="195"/>
      <c r="AD10" s="195"/>
      <c r="AE10" s="195"/>
      <c r="AF10" s="195"/>
      <c r="AG10" s="195"/>
      <c r="AH10" s="763">
        <f t="shared" si="0"/>
        <v>29314</v>
      </c>
      <c r="AI10" s="763">
        <f t="shared" si="1"/>
        <v>29314</v>
      </c>
      <c r="AJ10" s="763">
        <f t="shared" si="2"/>
        <v>11441.009999999998</v>
      </c>
      <c r="AK10" s="1130">
        <f t="shared" si="7"/>
        <v>0.3902916695094494</v>
      </c>
      <c r="AL10" s="190">
        <v>4.75</v>
      </c>
      <c r="AM10" s="190">
        <v>4.75</v>
      </c>
      <c r="AN10" s="50">
        <v>4.75</v>
      </c>
      <c r="AO10" s="1178">
        <f t="shared" si="8"/>
        <v>1</v>
      </c>
    </row>
    <row r="11" spans="1:41" s="41" customFormat="1" ht="12.75">
      <c r="A11" s="807" t="s">
        <v>470</v>
      </c>
      <c r="B11" s="805">
        <v>1700</v>
      </c>
      <c r="C11" s="805">
        <v>1700</v>
      </c>
      <c r="D11" s="805">
        <v>1149.7</v>
      </c>
      <c r="E11" s="1130">
        <f t="shared" si="4"/>
        <v>0.6762941176470588</v>
      </c>
      <c r="F11" s="806">
        <v>424</v>
      </c>
      <c r="G11" s="806">
        <v>424</v>
      </c>
      <c r="H11" s="806">
        <v>133.426</v>
      </c>
      <c r="I11" s="1130">
        <f t="shared" si="5"/>
        <v>0.3146839622641509</v>
      </c>
      <c r="J11" s="805">
        <v>576</v>
      </c>
      <c r="K11" s="805">
        <v>576</v>
      </c>
      <c r="L11" s="805">
        <v>1163.696</v>
      </c>
      <c r="M11" s="1130">
        <f t="shared" si="6"/>
        <v>2.0203055555555554</v>
      </c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199"/>
      <c r="AA11" s="199"/>
      <c r="AB11" s="199"/>
      <c r="AC11" s="199"/>
      <c r="AD11" s="199"/>
      <c r="AE11" s="199"/>
      <c r="AF11" s="199"/>
      <c r="AG11" s="199"/>
      <c r="AH11" s="763">
        <f t="shared" si="0"/>
        <v>2700</v>
      </c>
      <c r="AI11" s="763">
        <f t="shared" si="1"/>
        <v>2700</v>
      </c>
      <c r="AJ11" s="763">
        <f t="shared" si="2"/>
        <v>2446.822</v>
      </c>
      <c r="AK11" s="1130">
        <f t="shared" si="7"/>
        <v>0.9062303703703705</v>
      </c>
      <c r="AL11" s="190">
        <v>1</v>
      </c>
      <c r="AM11" s="190">
        <v>1</v>
      </c>
      <c r="AN11" s="1181">
        <v>1</v>
      </c>
      <c r="AO11" s="1178">
        <f t="shared" si="8"/>
        <v>1</v>
      </c>
    </row>
    <row r="12" spans="1:41" s="41" customFormat="1" ht="12.75">
      <c r="A12" s="196" t="s">
        <v>1118</v>
      </c>
      <c r="B12" s="197">
        <v>2054</v>
      </c>
      <c r="C12" s="197">
        <v>2054</v>
      </c>
      <c r="D12" s="197">
        <v>901.987</v>
      </c>
      <c r="E12" s="1130">
        <f t="shared" si="4"/>
        <v>0.43913680623174295</v>
      </c>
      <c r="F12" s="197">
        <v>466</v>
      </c>
      <c r="G12" s="197">
        <v>466</v>
      </c>
      <c r="H12" s="197">
        <v>284.553</v>
      </c>
      <c r="I12" s="1130">
        <f t="shared" si="5"/>
        <v>0.6106287553648069</v>
      </c>
      <c r="J12" s="197">
        <f>2755-147</f>
        <v>2608</v>
      </c>
      <c r="K12" s="197">
        <f>2755-147</f>
        <v>2608</v>
      </c>
      <c r="L12" s="197">
        <v>186.21</v>
      </c>
      <c r="M12" s="1130">
        <f t="shared" si="6"/>
        <v>0.07139953987730062</v>
      </c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763">
        <f t="shared" si="0"/>
        <v>5128</v>
      </c>
      <c r="AI12" s="763">
        <f t="shared" si="1"/>
        <v>5128</v>
      </c>
      <c r="AJ12" s="763">
        <f t="shared" si="2"/>
        <v>1372.75</v>
      </c>
      <c r="AK12" s="1130">
        <f t="shared" si="7"/>
        <v>0.26769695787831516</v>
      </c>
      <c r="AL12" s="190">
        <v>2</v>
      </c>
      <c r="AM12" s="190">
        <v>2</v>
      </c>
      <c r="AN12" s="1181">
        <v>2</v>
      </c>
      <c r="AO12" s="1178">
        <f t="shared" si="8"/>
        <v>1</v>
      </c>
    </row>
    <row r="13" spans="1:41" s="10" customFormat="1" ht="12.75">
      <c r="A13" s="198" t="s">
        <v>1106</v>
      </c>
      <c r="B13" s="192">
        <f aca="true" t="shared" si="9" ref="B13:AE13">+B14+B15</f>
        <v>35525</v>
      </c>
      <c r="C13" s="192">
        <f t="shared" si="9"/>
        <v>35525</v>
      </c>
      <c r="D13" s="192">
        <f t="shared" si="9"/>
        <v>17493.998</v>
      </c>
      <c r="E13" s="1130">
        <f t="shared" si="4"/>
        <v>0.4924418859957776</v>
      </c>
      <c r="F13" s="192">
        <f t="shared" si="9"/>
        <v>9545</v>
      </c>
      <c r="G13" s="192">
        <f t="shared" si="9"/>
        <v>9545</v>
      </c>
      <c r="H13" s="192">
        <f t="shared" si="9"/>
        <v>4368.512</v>
      </c>
      <c r="I13" s="1130">
        <f t="shared" si="5"/>
        <v>0.4576754321634363</v>
      </c>
      <c r="J13" s="192">
        <f t="shared" si="9"/>
        <v>32486</v>
      </c>
      <c r="K13" s="192">
        <f t="shared" si="9"/>
        <v>32486</v>
      </c>
      <c r="L13" s="192">
        <f t="shared" si="9"/>
        <v>11701.14</v>
      </c>
      <c r="M13" s="1130">
        <f t="shared" si="6"/>
        <v>0.36019023579388043</v>
      </c>
      <c r="N13" s="192">
        <f t="shared" si="9"/>
        <v>0</v>
      </c>
      <c r="O13" s="192">
        <f t="shared" si="9"/>
        <v>0</v>
      </c>
      <c r="P13" s="192"/>
      <c r="Q13" s="192"/>
      <c r="R13" s="192">
        <f t="shared" si="9"/>
        <v>0</v>
      </c>
      <c r="S13" s="192">
        <f t="shared" si="9"/>
        <v>0</v>
      </c>
      <c r="T13" s="192"/>
      <c r="U13" s="192"/>
      <c r="V13" s="192">
        <f t="shared" si="9"/>
        <v>0</v>
      </c>
      <c r="W13" s="192">
        <f t="shared" si="9"/>
        <v>0</v>
      </c>
      <c r="X13" s="192"/>
      <c r="Y13" s="192"/>
      <c r="Z13" s="192">
        <f t="shared" si="9"/>
        <v>0</v>
      </c>
      <c r="AA13" s="192">
        <f t="shared" si="9"/>
        <v>0</v>
      </c>
      <c r="AB13" s="192"/>
      <c r="AC13" s="192"/>
      <c r="AD13" s="192">
        <f t="shared" si="9"/>
        <v>0</v>
      </c>
      <c r="AE13" s="192">
        <f t="shared" si="9"/>
        <v>0</v>
      </c>
      <c r="AF13" s="192"/>
      <c r="AG13" s="192"/>
      <c r="AH13" s="763">
        <f t="shared" si="0"/>
        <v>77556</v>
      </c>
      <c r="AI13" s="763">
        <f t="shared" si="1"/>
        <v>77556</v>
      </c>
      <c r="AJ13" s="763">
        <f t="shared" si="2"/>
        <v>33563.649999999994</v>
      </c>
      <c r="AK13" s="1130">
        <f t="shared" si="7"/>
        <v>0.43276664603641235</v>
      </c>
      <c r="AL13" s="88">
        <f>AL14+AL15</f>
        <v>24</v>
      </c>
      <c r="AM13" s="88">
        <f>AM14+AM15</f>
        <v>24</v>
      </c>
      <c r="AN13" s="88">
        <f>AN14+AN15</f>
        <v>24</v>
      </c>
      <c r="AO13" s="1178">
        <f t="shared" si="8"/>
        <v>1</v>
      </c>
    </row>
    <row r="14" spans="1:41" s="41" customFormat="1" ht="12.75">
      <c r="A14" s="193" t="s">
        <v>1119</v>
      </c>
      <c r="B14" s="195">
        <v>5896</v>
      </c>
      <c r="C14" s="195">
        <v>5896</v>
      </c>
      <c r="D14" s="195">
        <v>2885.7</v>
      </c>
      <c r="E14" s="1130">
        <f t="shared" si="4"/>
        <v>0.48943351424694703</v>
      </c>
      <c r="F14" s="195">
        <v>1590</v>
      </c>
      <c r="G14" s="195">
        <v>1590</v>
      </c>
      <c r="H14" s="195">
        <v>706.639</v>
      </c>
      <c r="I14" s="1130">
        <f t="shared" si="5"/>
        <v>0.44442704402515726</v>
      </c>
      <c r="J14" s="195">
        <v>3711</v>
      </c>
      <c r="K14" s="195">
        <v>3711</v>
      </c>
      <c r="L14" s="195">
        <v>690.203</v>
      </c>
      <c r="M14" s="1130">
        <f t="shared" si="6"/>
        <v>0.18598841282673134</v>
      </c>
      <c r="N14" s="195"/>
      <c r="O14" s="195"/>
      <c r="P14" s="195"/>
      <c r="Q14" s="195"/>
      <c r="R14" s="195"/>
      <c r="S14" s="195"/>
      <c r="T14" s="195"/>
      <c r="U14" s="195"/>
      <c r="V14" s="195">
        <v>0</v>
      </c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763">
        <f t="shared" si="0"/>
        <v>11197</v>
      </c>
      <c r="AI14" s="763">
        <f t="shared" si="1"/>
        <v>11197</v>
      </c>
      <c r="AJ14" s="763">
        <f t="shared" si="2"/>
        <v>4282.5419999999995</v>
      </c>
      <c r="AK14" s="1130">
        <f t="shared" si="7"/>
        <v>0.38247226935786366</v>
      </c>
      <c r="AL14" s="190">
        <v>4</v>
      </c>
      <c r="AM14" s="190">
        <v>4</v>
      </c>
      <c r="AN14" s="190">
        <v>4</v>
      </c>
      <c r="AO14" s="1178">
        <f t="shared" si="8"/>
        <v>1</v>
      </c>
    </row>
    <row r="15" spans="1:41" s="41" customFormat="1" ht="12.75">
      <c r="A15" s="196" t="s">
        <v>1120</v>
      </c>
      <c r="B15" s="197">
        <v>29629</v>
      </c>
      <c r="C15" s="197">
        <v>29629</v>
      </c>
      <c r="D15" s="197">
        <v>14608.298</v>
      </c>
      <c r="E15" s="1130">
        <f t="shared" si="4"/>
        <v>0.4930405346113605</v>
      </c>
      <c r="F15" s="197">
        <v>7955</v>
      </c>
      <c r="G15" s="197">
        <v>7955</v>
      </c>
      <c r="H15" s="197">
        <v>3661.873</v>
      </c>
      <c r="I15" s="1130">
        <f t="shared" si="5"/>
        <v>0.46032344437460715</v>
      </c>
      <c r="J15" s="197">
        <v>28775</v>
      </c>
      <c r="K15" s="197">
        <v>28775</v>
      </c>
      <c r="L15" s="197">
        <v>11010.937</v>
      </c>
      <c r="M15" s="1130">
        <f t="shared" si="6"/>
        <v>0.3826563683753258</v>
      </c>
      <c r="N15" s="197"/>
      <c r="O15" s="197"/>
      <c r="P15" s="197"/>
      <c r="Q15" s="197"/>
      <c r="R15" s="197"/>
      <c r="S15" s="197"/>
      <c r="T15" s="197"/>
      <c r="U15" s="197"/>
      <c r="V15" s="197">
        <v>0</v>
      </c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763">
        <f t="shared" si="0"/>
        <v>66359</v>
      </c>
      <c r="AI15" s="763">
        <f t="shared" si="1"/>
        <v>66359</v>
      </c>
      <c r="AJ15" s="763">
        <f t="shared" si="2"/>
        <v>29281.108</v>
      </c>
      <c r="AK15" s="1130">
        <f t="shared" si="7"/>
        <v>0.44125300260703143</v>
      </c>
      <c r="AL15" s="190">
        <v>20</v>
      </c>
      <c r="AM15" s="190">
        <v>20</v>
      </c>
      <c r="AN15" s="190">
        <v>20</v>
      </c>
      <c r="AO15" s="1178">
        <f t="shared" si="8"/>
        <v>1</v>
      </c>
    </row>
    <row r="16" spans="1:41" s="10" customFormat="1" ht="30" customHeight="1">
      <c r="A16" s="200" t="s">
        <v>1143</v>
      </c>
      <c r="B16" s="201">
        <f aca="true" t="shared" si="10" ref="B16:L16">B8+B9+B13</f>
        <v>106517</v>
      </c>
      <c r="C16" s="201">
        <f t="shared" si="10"/>
        <v>106517</v>
      </c>
      <c r="D16" s="201">
        <f t="shared" si="10"/>
        <v>54242.23</v>
      </c>
      <c r="E16" s="1130">
        <f t="shared" si="4"/>
        <v>0.5092354272088023</v>
      </c>
      <c r="F16" s="201">
        <f t="shared" si="10"/>
        <v>28397</v>
      </c>
      <c r="G16" s="201">
        <f t="shared" si="10"/>
        <v>28397</v>
      </c>
      <c r="H16" s="201">
        <f t="shared" si="10"/>
        <v>13334.587</v>
      </c>
      <c r="I16" s="1130">
        <f t="shared" si="5"/>
        <v>0.46957731450505336</v>
      </c>
      <c r="J16" s="201">
        <f t="shared" si="10"/>
        <v>81064</v>
      </c>
      <c r="K16" s="201">
        <f t="shared" si="10"/>
        <v>81064</v>
      </c>
      <c r="L16" s="201">
        <f t="shared" si="10"/>
        <v>43489.415</v>
      </c>
      <c r="M16" s="1130">
        <f t="shared" si="6"/>
        <v>0.5364824706404816</v>
      </c>
      <c r="N16" s="201">
        <f>N8+N9+N13</f>
        <v>0</v>
      </c>
      <c r="O16" s="201">
        <f>O8+O9+O13</f>
        <v>0</v>
      </c>
      <c r="P16" s="201">
        <f>P8+P9+P13</f>
        <v>21</v>
      </c>
      <c r="Q16" s="201"/>
      <c r="R16" s="201">
        <f>R8+R9+R13</f>
        <v>0</v>
      </c>
      <c r="S16" s="201">
        <f>S8+S9+S13</f>
        <v>0</v>
      </c>
      <c r="T16" s="201"/>
      <c r="U16" s="201"/>
      <c r="V16" s="201">
        <f>V8+V9+V13</f>
        <v>0</v>
      </c>
      <c r="W16" s="201">
        <f>W8+W9+W13</f>
        <v>0</v>
      </c>
      <c r="X16" s="201">
        <f>X8+X9+X13</f>
        <v>250</v>
      </c>
      <c r="Y16" s="201"/>
      <c r="Z16" s="201">
        <f>Z8+Z9+Z13</f>
        <v>0</v>
      </c>
      <c r="AA16" s="201">
        <f>AA8+AA9+AA13</f>
        <v>0</v>
      </c>
      <c r="AB16" s="201">
        <f>AB8+AB9+AB13</f>
        <v>0</v>
      </c>
      <c r="AC16" s="201"/>
      <c r="AD16" s="201">
        <f>AD8+AD9+AD13</f>
        <v>0</v>
      </c>
      <c r="AE16" s="201">
        <f>AE8+AE9+AE13</f>
        <v>0</v>
      </c>
      <c r="AF16" s="201"/>
      <c r="AG16" s="201"/>
      <c r="AH16" s="763">
        <f t="shared" si="0"/>
        <v>215978</v>
      </c>
      <c r="AI16" s="763">
        <f t="shared" si="1"/>
        <v>215978</v>
      </c>
      <c r="AJ16" s="763">
        <f t="shared" si="2"/>
        <v>111337.23200000002</v>
      </c>
      <c r="AK16" s="1130">
        <f t="shared" si="7"/>
        <v>0.5155026530479957</v>
      </c>
      <c r="AL16" s="202">
        <f>AL8+AL9+AL13</f>
        <v>57.75</v>
      </c>
      <c r="AM16" s="202">
        <f>AM8+AM9+AM13</f>
        <v>57.75</v>
      </c>
      <c r="AN16" s="202">
        <f>AN8+AN9+AN13</f>
        <v>57.75</v>
      </c>
      <c r="AO16" s="1117">
        <f t="shared" si="8"/>
        <v>1</v>
      </c>
    </row>
    <row r="17" spans="1:41" s="10" customFormat="1" ht="30" customHeight="1">
      <c r="A17" s="688" t="s">
        <v>1137</v>
      </c>
      <c r="B17" s="177">
        <f>2am!B14</f>
        <v>97465</v>
      </c>
      <c r="C17" s="177">
        <f>2am!C14</f>
        <v>97465</v>
      </c>
      <c r="D17" s="177">
        <f>2am!D14</f>
        <v>47184.909999999996</v>
      </c>
      <c r="E17" s="1130">
        <f t="shared" si="4"/>
        <v>0.4841215821063971</v>
      </c>
      <c r="F17" s="177">
        <f>2am!F14</f>
        <v>24629.13</v>
      </c>
      <c r="G17" s="177">
        <f>2am!G14</f>
        <v>24629.13</v>
      </c>
      <c r="H17" s="177">
        <f>2am!H14</f>
        <v>12164.118</v>
      </c>
      <c r="I17" s="1130">
        <f t="shared" si="5"/>
        <v>0.4938915016486575</v>
      </c>
      <c r="J17" s="182">
        <f>2am!J14</f>
        <v>31165.11</v>
      </c>
      <c r="K17" s="182">
        <f>2am!K14</f>
        <v>31165.11</v>
      </c>
      <c r="L17" s="182">
        <f>2am!L14</f>
        <v>16167.188</v>
      </c>
      <c r="M17" s="1130">
        <f t="shared" si="6"/>
        <v>0.5187592150324514</v>
      </c>
      <c r="N17" s="47">
        <f>2am!N14</f>
        <v>0</v>
      </c>
      <c r="O17" s="47">
        <f>2am!O14</f>
        <v>0</v>
      </c>
      <c r="P17" s="47"/>
      <c r="Q17" s="47"/>
      <c r="R17" s="47">
        <f>2am!R14</f>
        <v>0</v>
      </c>
      <c r="S17" s="47">
        <f>2am!S14</f>
        <v>0</v>
      </c>
      <c r="T17" s="47"/>
      <c r="U17" s="47"/>
      <c r="V17" s="47">
        <f>2am!V14</f>
        <v>0</v>
      </c>
      <c r="W17" s="47">
        <f>2am!W14</f>
        <v>0</v>
      </c>
      <c r="X17" s="47">
        <f>2am!X14</f>
        <v>0</v>
      </c>
      <c r="Y17" s="47"/>
      <c r="Z17" s="47">
        <f>2am!Z14</f>
        <v>0</v>
      </c>
      <c r="AA17" s="47">
        <f>2am!AA14</f>
        <v>0</v>
      </c>
      <c r="AB17" s="47"/>
      <c r="AC17" s="47"/>
      <c r="AD17" s="47">
        <f>2am!AD14</f>
        <v>0</v>
      </c>
      <c r="AE17" s="47">
        <f>2am!AE14</f>
        <v>0</v>
      </c>
      <c r="AF17" s="47"/>
      <c r="AG17" s="47"/>
      <c r="AH17" s="763">
        <f t="shared" si="0"/>
        <v>153259.24</v>
      </c>
      <c r="AI17" s="763">
        <f t="shared" si="1"/>
        <v>153259.24</v>
      </c>
      <c r="AJ17" s="763">
        <f t="shared" si="2"/>
        <v>75516.216</v>
      </c>
      <c r="AK17" s="1130">
        <f t="shared" si="7"/>
        <v>0.4927351590677339</v>
      </c>
      <c r="AL17" s="202">
        <f>2am!AL14</f>
        <v>42</v>
      </c>
      <c r="AM17" s="202">
        <f>2am!AM14</f>
        <v>42</v>
      </c>
      <c r="AN17" s="202">
        <f>2am!AN14</f>
        <v>37</v>
      </c>
      <c r="AO17" s="1117">
        <f t="shared" si="8"/>
        <v>0.8809523809523809</v>
      </c>
    </row>
    <row r="18" spans="1:41" s="10" customFormat="1" ht="33" customHeight="1">
      <c r="A18" s="688" t="s">
        <v>400</v>
      </c>
      <c r="B18" s="201">
        <f>2am!B40</f>
        <v>153518</v>
      </c>
      <c r="C18" s="201">
        <f>2am!C40</f>
        <v>158124</v>
      </c>
      <c r="D18" s="201">
        <f>2am!D40</f>
        <v>68142.398</v>
      </c>
      <c r="E18" s="1130">
        <f t="shared" si="4"/>
        <v>0.43094279173307026</v>
      </c>
      <c r="F18" s="201">
        <f>2am!F40</f>
        <v>25849.96</v>
      </c>
      <c r="G18" s="201">
        <f>2am!G40</f>
        <v>27081.96</v>
      </c>
      <c r="H18" s="201">
        <f>2am!H40</f>
        <v>10802.345</v>
      </c>
      <c r="I18" s="1130">
        <f t="shared" si="5"/>
        <v>0.39887604146819505</v>
      </c>
      <c r="J18" s="201">
        <f>2am!J40</f>
        <v>164500.352</v>
      </c>
      <c r="K18" s="201">
        <f>2am!K40</f>
        <v>179148.352</v>
      </c>
      <c r="L18" s="201">
        <f>2am!L40</f>
        <v>122886.88100000002</v>
      </c>
      <c r="M18" s="1130">
        <f t="shared" si="6"/>
        <v>0.6859503848519913</v>
      </c>
      <c r="N18" s="201">
        <f>2am!N40</f>
        <v>122342</v>
      </c>
      <c r="O18" s="201">
        <f>2am!O40</f>
        <v>122342</v>
      </c>
      <c r="P18" s="201">
        <f>2am!P40</f>
        <v>57936.848999999995</v>
      </c>
      <c r="Q18" s="1131">
        <f>P18/O18</f>
        <v>0.47356467116771017</v>
      </c>
      <c r="R18" s="201">
        <f>2am!R40</f>
        <v>12342</v>
      </c>
      <c r="S18" s="201">
        <f>2am!S40</f>
        <v>8402</v>
      </c>
      <c r="T18" s="201">
        <f>2am!T40</f>
        <v>6926.798</v>
      </c>
      <c r="U18" s="1131">
        <f>T18/S18</f>
        <v>0.8244225184479885</v>
      </c>
      <c r="V18" s="201">
        <f>2am!V40</f>
        <v>89611</v>
      </c>
      <c r="W18" s="201">
        <f>2am!W40</f>
        <v>82939</v>
      </c>
      <c r="X18" s="201">
        <f>2am!X40</f>
        <v>44321.172999999995</v>
      </c>
      <c r="Y18" s="1131">
        <f>X18/W18</f>
        <v>0.534382775292685</v>
      </c>
      <c r="Z18" s="201">
        <f>2am!Z40</f>
        <v>213346.15594000003</v>
      </c>
      <c r="AA18" s="201">
        <f>2am!AA40</f>
        <v>213346.15594000003</v>
      </c>
      <c r="AB18" s="201">
        <f>2am!AB40</f>
        <v>0</v>
      </c>
      <c r="AC18" s="1131">
        <f>AB18/AA18</f>
        <v>0</v>
      </c>
      <c r="AD18" s="201">
        <f>2am!AD40</f>
        <v>0</v>
      </c>
      <c r="AE18" s="201">
        <f>2am!AE40</f>
        <v>0</v>
      </c>
      <c r="AF18" s="201"/>
      <c r="AG18" s="201"/>
      <c r="AH18" s="763">
        <f t="shared" si="0"/>
        <v>781509.4679400001</v>
      </c>
      <c r="AI18" s="763">
        <f t="shared" si="1"/>
        <v>791383.4679400001</v>
      </c>
      <c r="AJ18" s="763">
        <f t="shared" si="2"/>
        <v>311016.444</v>
      </c>
      <c r="AK18" s="1130">
        <f t="shared" si="7"/>
        <v>0.39300346368061884</v>
      </c>
      <c r="AL18" s="202">
        <f>2am!AL40</f>
        <v>144</v>
      </c>
      <c r="AM18" s="202">
        <f>2am!AM40</f>
        <v>150</v>
      </c>
      <c r="AN18" s="202">
        <f>2am!AN40</f>
        <v>147.6</v>
      </c>
      <c r="AO18" s="1117">
        <f t="shared" si="8"/>
        <v>0.984</v>
      </c>
    </row>
    <row r="19" spans="1:41" ht="51" customHeight="1">
      <c r="A19" s="869" t="s">
        <v>1142</v>
      </c>
      <c r="B19" s="171">
        <f>+2am!B42</f>
        <v>250983</v>
      </c>
      <c r="C19" s="171">
        <f>+2am!C42</f>
        <v>255589</v>
      </c>
      <c r="D19" s="171">
        <f>+2am!D42</f>
        <v>115327.30799999999</v>
      </c>
      <c r="E19" s="1130">
        <f t="shared" si="4"/>
        <v>0.4512217192445684</v>
      </c>
      <c r="F19" s="171">
        <f>+2am!F42</f>
        <v>50479.09</v>
      </c>
      <c r="G19" s="171">
        <f>+2am!G42</f>
        <v>51711.09</v>
      </c>
      <c r="H19" s="171">
        <f>+2am!H42</f>
        <v>22966.463</v>
      </c>
      <c r="I19" s="1130">
        <f t="shared" si="5"/>
        <v>0.44413032098143745</v>
      </c>
      <c r="J19" s="171">
        <f>+2am!J42</f>
        <v>195665.462</v>
      </c>
      <c r="K19" s="171">
        <f>+2am!K42</f>
        <v>210313.462</v>
      </c>
      <c r="L19" s="171">
        <f>+2am!L42</f>
        <v>139054.06900000002</v>
      </c>
      <c r="M19" s="1130">
        <f t="shared" si="6"/>
        <v>0.6611753126863559</v>
      </c>
      <c r="N19" s="171">
        <f>+2am!N42</f>
        <v>122342</v>
      </c>
      <c r="O19" s="171">
        <f>+2am!O42</f>
        <v>122342</v>
      </c>
      <c r="P19" s="171">
        <f>+2am!P42</f>
        <v>57936.848999999995</v>
      </c>
      <c r="Q19" s="1131">
        <f>P19/O19</f>
        <v>0.47356467116771017</v>
      </c>
      <c r="R19" s="171">
        <f>R17+R18</f>
        <v>12342</v>
      </c>
      <c r="S19" s="171">
        <f>S17+S18</f>
        <v>8402</v>
      </c>
      <c r="T19" s="171">
        <f>T17+T18</f>
        <v>6926.798</v>
      </c>
      <c r="U19" s="1131">
        <f>T19/S19</f>
        <v>0.8244225184479885</v>
      </c>
      <c r="V19" s="171">
        <f>V17+V18</f>
        <v>89611</v>
      </c>
      <c r="W19" s="171">
        <f>W17+W18</f>
        <v>82939</v>
      </c>
      <c r="X19" s="171">
        <f>X17+X18</f>
        <v>44321.172999999995</v>
      </c>
      <c r="Y19" s="1131">
        <f>X19/W19</f>
        <v>0.534382775292685</v>
      </c>
      <c r="Z19" s="171">
        <f>+2am!Z42</f>
        <v>213346.15594000003</v>
      </c>
      <c r="AA19" s="171">
        <f>+2am!AA42</f>
        <v>213346.15594000003</v>
      </c>
      <c r="AB19" s="171">
        <f>+2am!AB42</f>
        <v>0</v>
      </c>
      <c r="AC19" s="1131">
        <f>AB19/AA19</f>
        <v>0</v>
      </c>
      <c r="AD19" s="171">
        <f>+2am!AD42</f>
        <v>0</v>
      </c>
      <c r="AE19" s="171">
        <f>+2am!AE42</f>
        <v>0</v>
      </c>
      <c r="AF19" s="171"/>
      <c r="AG19" s="171"/>
      <c r="AH19" s="171">
        <f>+2am!AH42</f>
        <v>934767.7079400001</v>
      </c>
      <c r="AI19" s="171">
        <f>+2am!AI42</f>
        <v>944641.7079400001</v>
      </c>
      <c r="AJ19" s="171">
        <f>+2am!AJ42</f>
        <v>386532.66000000003</v>
      </c>
      <c r="AK19" s="1130">
        <f t="shared" si="7"/>
        <v>0.40918441007958445</v>
      </c>
      <c r="AL19" s="190">
        <f>2am!AL42</f>
        <v>186</v>
      </c>
      <c r="AM19" s="190">
        <f>2am!AM42</f>
        <v>192</v>
      </c>
      <c r="AN19" s="190">
        <f>2am!AN42</f>
        <v>184.6</v>
      </c>
      <c r="AO19" s="1117">
        <f t="shared" si="8"/>
        <v>0.9614583333333333</v>
      </c>
    </row>
    <row r="20" spans="1:41" s="206" customFormat="1" ht="26.25" customHeight="1">
      <c r="A20" s="203" t="s">
        <v>1122</v>
      </c>
      <c r="B20" s="204">
        <f aca="true" t="shared" si="11" ref="B20:L20">+B19+B16</f>
        <v>357500</v>
      </c>
      <c r="C20" s="204">
        <f>+C19+C16</f>
        <v>362106</v>
      </c>
      <c r="D20" s="204">
        <f>+D19+D16</f>
        <v>169569.538</v>
      </c>
      <c r="E20" s="1130">
        <f t="shared" si="4"/>
        <v>0.4682870154043291</v>
      </c>
      <c r="F20" s="204">
        <f t="shared" si="11"/>
        <v>78876.09</v>
      </c>
      <c r="G20" s="204">
        <f t="shared" si="11"/>
        <v>80108.09</v>
      </c>
      <c r="H20" s="204">
        <f t="shared" si="11"/>
        <v>36301.05</v>
      </c>
      <c r="I20" s="1130">
        <f t="shared" si="5"/>
        <v>0.45315086154219886</v>
      </c>
      <c r="J20" s="204">
        <f t="shared" si="11"/>
        <v>276729.462</v>
      </c>
      <c r="K20" s="204">
        <f t="shared" si="11"/>
        <v>291377.462</v>
      </c>
      <c r="L20" s="204">
        <f t="shared" si="11"/>
        <v>182543.48400000003</v>
      </c>
      <c r="M20" s="1130">
        <f t="shared" si="6"/>
        <v>0.6264845700385708</v>
      </c>
      <c r="N20" s="204">
        <f>+N19+N16</f>
        <v>122342</v>
      </c>
      <c r="O20" s="204">
        <f>+O19+O16</f>
        <v>122342</v>
      </c>
      <c r="P20" s="204">
        <f>+P19+P16</f>
        <v>57957.848999999995</v>
      </c>
      <c r="Q20" s="1131">
        <f>P20/O20</f>
        <v>0.47373632113256275</v>
      </c>
      <c r="R20" s="204">
        <f>+R19+R16</f>
        <v>12342</v>
      </c>
      <c r="S20" s="204">
        <f>+S19+S16</f>
        <v>8402</v>
      </c>
      <c r="T20" s="204">
        <f>+T19+T16</f>
        <v>6926.798</v>
      </c>
      <c r="U20" s="1131">
        <f>T20/S20</f>
        <v>0.8244225184479885</v>
      </c>
      <c r="V20" s="204">
        <f>+V19+V16</f>
        <v>89611</v>
      </c>
      <c r="W20" s="204">
        <f>+W19+W16</f>
        <v>82939</v>
      </c>
      <c r="X20" s="204">
        <f>+X19+X16</f>
        <v>44571.172999999995</v>
      </c>
      <c r="Y20" s="1131">
        <f>X20/W20</f>
        <v>0.5373970387875426</v>
      </c>
      <c r="Z20" s="204">
        <f>+Z19+Z16</f>
        <v>213346.15594000003</v>
      </c>
      <c r="AA20" s="204">
        <f>+AA19+AA16</f>
        <v>213346.15594000003</v>
      </c>
      <c r="AB20" s="204">
        <f>+AB19+AB16</f>
        <v>0</v>
      </c>
      <c r="AC20" s="1131">
        <f>AB20/AA20</f>
        <v>0</v>
      </c>
      <c r="AD20" s="204">
        <f>+AD19+AD16</f>
        <v>0</v>
      </c>
      <c r="AE20" s="204">
        <f>+AE19+AE16</f>
        <v>0</v>
      </c>
      <c r="AF20" s="204"/>
      <c r="AG20" s="204"/>
      <c r="AH20" s="204">
        <f>+AH19+AH16</f>
        <v>1150745.70794</v>
      </c>
      <c r="AI20" s="204">
        <f>+AI19+AI16</f>
        <v>1160619.70794</v>
      </c>
      <c r="AJ20" s="204">
        <f>+AJ19+AJ16</f>
        <v>497869.89200000005</v>
      </c>
      <c r="AK20" s="1130">
        <f t="shared" si="7"/>
        <v>0.42896901422058065</v>
      </c>
      <c r="AL20" s="205">
        <f>+AL19+AL16</f>
        <v>243.75</v>
      </c>
      <c r="AM20" s="205">
        <f>+AM19+AM16</f>
        <v>249.75</v>
      </c>
      <c r="AN20" s="205">
        <f>+AN19+AN16</f>
        <v>242.35</v>
      </c>
      <c r="AO20" s="1117">
        <f t="shared" si="8"/>
        <v>0.9703703703703703</v>
      </c>
    </row>
    <row r="22" ht="12.75">
      <c r="AN22" s="207"/>
    </row>
    <row r="23" spans="2:40" ht="12.75">
      <c r="B23" s="207"/>
      <c r="C23" s="207"/>
      <c r="D23" s="207"/>
      <c r="E23" s="207"/>
      <c r="J23" s="8"/>
      <c r="K23" s="8"/>
      <c r="L23" s="8"/>
      <c r="M23" s="8"/>
      <c r="R23" s="207"/>
      <c r="S23" s="207"/>
      <c r="T23" s="207"/>
      <c r="U23" s="207"/>
      <c r="AD23" s="8"/>
      <c r="AE23" s="8"/>
      <c r="AF23" s="8"/>
      <c r="AG23" s="8"/>
      <c r="AN23" s="207"/>
    </row>
    <row r="24" spans="2:40" ht="12.75">
      <c r="B24" s="207"/>
      <c r="C24" s="207"/>
      <c r="D24" s="207"/>
      <c r="E24" s="207"/>
      <c r="J24" s="8"/>
      <c r="K24" s="8"/>
      <c r="L24" s="8"/>
      <c r="M24" s="8"/>
      <c r="R24" s="207"/>
      <c r="S24" s="207"/>
      <c r="T24" s="207"/>
      <c r="U24" s="207"/>
      <c r="AN24" s="207"/>
    </row>
    <row r="25" spans="2:40" ht="12.75">
      <c r="B25" s="207"/>
      <c r="C25" s="207"/>
      <c r="D25" s="207"/>
      <c r="E25" s="207"/>
      <c r="J25" s="8"/>
      <c r="K25" s="8"/>
      <c r="L25" s="8"/>
      <c r="M25" s="8"/>
      <c r="R25" s="207"/>
      <c r="S25" s="207"/>
      <c r="T25" s="207"/>
      <c r="U25" s="207"/>
      <c r="AH25" s="208">
        <f>AH20-1bm!Z22</f>
        <v>61056.21437600022</v>
      </c>
      <c r="AL25" s="8">
        <f>+AH25+2482-5460</f>
        <v>58078.21437600022</v>
      </c>
      <c r="AN25" s="207"/>
    </row>
    <row r="26" spans="2:21" ht="12.75">
      <c r="B26" s="207"/>
      <c r="C26" s="207"/>
      <c r="D26" s="207"/>
      <c r="E26" s="207"/>
      <c r="J26" s="8"/>
      <c r="K26" s="8"/>
      <c r="L26" s="8"/>
      <c r="M26" s="8"/>
      <c r="R26" s="207"/>
      <c r="S26" s="207"/>
      <c r="T26" s="207"/>
      <c r="U26" s="207"/>
    </row>
    <row r="27" spans="2:34" ht="12.75">
      <c r="B27" s="207"/>
      <c r="C27" s="207"/>
      <c r="D27" s="207"/>
      <c r="E27" s="207"/>
      <c r="J27" s="8"/>
      <c r="K27" s="8"/>
      <c r="L27" s="8"/>
      <c r="M27" s="8"/>
      <c r="R27" s="207"/>
      <c r="S27" s="207"/>
      <c r="T27" s="207"/>
      <c r="U27" s="207"/>
      <c r="AH27" s="8"/>
    </row>
    <row r="28" spans="2:21" ht="12.75">
      <c r="B28" s="207"/>
      <c r="C28" s="207"/>
      <c r="D28" s="207"/>
      <c r="E28" s="207"/>
      <c r="J28" s="8"/>
      <c r="K28" s="8"/>
      <c r="L28" s="8"/>
      <c r="M28" s="8"/>
      <c r="R28" s="207"/>
      <c r="S28" s="207"/>
      <c r="T28" s="207"/>
      <c r="U28" s="207"/>
    </row>
    <row r="29" spans="2:13" ht="12.75">
      <c r="B29" s="207"/>
      <c r="C29" s="207"/>
      <c r="D29" s="207"/>
      <c r="E29" s="207"/>
      <c r="J29" s="8"/>
      <c r="K29" s="8"/>
      <c r="L29" s="8"/>
      <c r="M29" s="8"/>
    </row>
    <row r="30" spans="2:13" ht="12.75">
      <c r="B30" s="207"/>
      <c r="C30" s="207"/>
      <c r="D30" s="207"/>
      <c r="E30" s="207"/>
      <c r="J30" s="8"/>
      <c r="K30" s="8"/>
      <c r="L30" s="8"/>
      <c r="M30" s="8"/>
    </row>
    <row r="31" spans="2:13" ht="12.75">
      <c r="B31" s="207"/>
      <c r="C31" s="207"/>
      <c r="D31" s="207"/>
      <c r="E31" s="207"/>
      <c r="J31" s="8"/>
      <c r="K31" s="8"/>
      <c r="L31" s="8"/>
      <c r="M31" s="8"/>
    </row>
  </sheetData>
  <sheetProtection/>
  <mergeCells count="16">
    <mergeCell ref="AN1:AO1"/>
    <mergeCell ref="AN4:AO4"/>
    <mergeCell ref="A2:AM2"/>
    <mergeCell ref="A5:A7"/>
    <mergeCell ref="R5:V5"/>
    <mergeCell ref="Z5:AC6"/>
    <mergeCell ref="AD5:AG6"/>
    <mergeCell ref="AH5:AK6"/>
    <mergeCell ref="AL5:AO6"/>
    <mergeCell ref="A3:AO3"/>
    <mergeCell ref="B5:E6"/>
    <mergeCell ref="F5:I6"/>
    <mergeCell ref="J5:M6"/>
    <mergeCell ref="N5:Q6"/>
    <mergeCell ref="R6:U6"/>
    <mergeCell ref="V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6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1456" t="s">
        <v>1403</v>
      </c>
      <c r="B2" s="1456"/>
      <c r="C2" s="1456"/>
      <c r="D2" s="1456"/>
      <c r="E2" s="1456"/>
      <c r="F2" s="1456"/>
    </row>
    <row r="4" spans="1:6" ht="15.75">
      <c r="A4" s="1457" t="s">
        <v>1404</v>
      </c>
      <c r="B4" s="1457"/>
      <c r="C4" s="1457"/>
      <c r="D4" s="1457"/>
      <c r="E4" s="1457"/>
      <c r="F4" s="1457"/>
    </row>
    <row r="5" spans="1:6" ht="15.75">
      <c r="A5" s="30"/>
      <c r="B5" s="30"/>
      <c r="C5" s="30"/>
      <c r="D5" s="30"/>
      <c r="E5" s="30"/>
      <c r="F5" s="91"/>
    </row>
    <row r="7" spans="1:5" ht="15.75">
      <c r="A7" s="30" t="s">
        <v>1405</v>
      </c>
      <c r="B7" s="1458" t="s">
        <v>1406</v>
      </c>
      <c r="C7" s="1458"/>
      <c r="D7" s="1458"/>
      <c r="E7" s="1458"/>
    </row>
    <row r="10" spans="1:7" ht="12.75">
      <c r="A10" s="814" t="s">
        <v>1407</v>
      </c>
      <c r="B10" s="1450" t="s">
        <v>1408</v>
      </c>
      <c r="C10" s="1450"/>
      <c r="D10" s="1451" t="s">
        <v>1409</v>
      </c>
      <c r="E10" s="1451" t="s">
        <v>1410</v>
      </c>
      <c r="F10" s="1451" t="s">
        <v>1411</v>
      </c>
      <c r="G10" s="1454"/>
    </row>
    <row r="11" spans="1:7" ht="12.75">
      <c r="A11" s="817" t="s">
        <v>1412</v>
      </c>
      <c r="B11" s="1452" t="s">
        <v>1413</v>
      </c>
      <c r="C11" s="1452"/>
      <c r="D11" s="1451"/>
      <c r="E11" s="1451"/>
      <c r="F11" s="1451"/>
      <c r="G11" s="1454"/>
    </row>
    <row r="12" spans="1:7" ht="12.75">
      <c r="A12" s="818"/>
      <c r="B12" s="819"/>
      <c r="C12" s="820"/>
      <c r="D12" s="820"/>
      <c r="E12" s="821"/>
      <c r="F12" s="821"/>
      <c r="G12" s="819"/>
    </row>
    <row r="13" spans="1:7" ht="12.75">
      <c r="A13" s="818"/>
      <c r="B13" s="819"/>
      <c r="C13" s="820"/>
      <c r="D13" s="822" t="s">
        <v>1414</v>
      </c>
      <c r="E13" s="817" t="s">
        <v>1415</v>
      </c>
      <c r="F13" s="817" t="s">
        <v>1415</v>
      </c>
      <c r="G13" s="819"/>
    </row>
    <row r="14" spans="1:7" ht="12.75">
      <c r="A14" s="823" t="s">
        <v>1416</v>
      </c>
      <c r="B14" s="1455" t="s">
        <v>1417</v>
      </c>
      <c r="C14" s="1455"/>
      <c r="D14" s="824"/>
      <c r="E14" s="824"/>
      <c r="F14" s="824"/>
      <c r="G14" s="825"/>
    </row>
    <row r="15" spans="1:7" ht="12.75">
      <c r="A15" s="826" t="s">
        <v>1418</v>
      </c>
      <c r="B15" s="1446" t="s">
        <v>1419</v>
      </c>
      <c r="C15" s="1446"/>
      <c r="D15" s="827">
        <v>7341</v>
      </c>
      <c r="E15" s="828">
        <v>6275143</v>
      </c>
      <c r="F15" s="828">
        <v>119152</v>
      </c>
      <c r="G15" s="825"/>
    </row>
    <row r="16" spans="1:7" ht="12.75">
      <c r="A16" s="826" t="s">
        <v>1420</v>
      </c>
      <c r="B16" s="1446" t="s">
        <v>561</v>
      </c>
      <c r="C16" s="1446"/>
      <c r="D16" s="827">
        <v>406</v>
      </c>
      <c r="E16" s="828">
        <v>149151</v>
      </c>
      <c r="F16" s="828">
        <v>14095</v>
      </c>
      <c r="G16" s="825"/>
    </row>
    <row r="17" spans="1:7" ht="12.75">
      <c r="A17" s="826" t="s">
        <v>562</v>
      </c>
      <c r="B17" s="1446" t="s">
        <v>563</v>
      </c>
      <c r="C17" s="1446"/>
      <c r="D17" s="827">
        <v>3580</v>
      </c>
      <c r="E17" s="828">
        <v>3413994</v>
      </c>
      <c r="F17" s="828">
        <v>127942</v>
      </c>
      <c r="G17" s="825"/>
    </row>
    <row r="18" spans="1:7" ht="12.75">
      <c r="A18" s="826" t="s">
        <v>564</v>
      </c>
      <c r="B18" s="1446" t="s">
        <v>565</v>
      </c>
      <c r="C18" s="1446"/>
      <c r="D18" s="827">
        <v>29</v>
      </c>
      <c r="E18" s="828">
        <v>38506</v>
      </c>
      <c r="F18" s="828">
        <v>3885</v>
      </c>
      <c r="G18" s="825"/>
    </row>
    <row r="19" spans="1:7" ht="12.75">
      <c r="A19" s="826" t="s">
        <v>566</v>
      </c>
      <c r="B19" s="1446" t="s">
        <v>42</v>
      </c>
      <c r="C19" s="1446"/>
      <c r="D19" s="827">
        <v>128</v>
      </c>
      <c r="E19" s="828">
        <v>132370</v>
      </c>
      <c r="F19" s="828">
        <v>89520</v>
      </c>
      <c r="G19" s="825"/>
    </row>
    <row r="20" spans="1:7" ht="12.75">
      <c r="A20" s="826" t="s">
        <v>567</v>
      </c>
      <c r="B20" s="1446" t="s">
        <v>568</v>
      </c>
      <c r="C20" s="1446"/>
      <c r="D20" s="827"/>
      <c r="E20" s="828"/>
      <c r="F20" s="828"/>
      <c r="G20" s="825"/>
    </row>
    <row r="21" spans="1:7" ht="12.75">
      <c r="A21" s="826" t="s">
        <v>569</v>
      </c>
      <c r="B21" s="1446" t="s">
        <v>570</v>
      </c>
      <c r="C21" s="1446"/>
      <c r="D21" s="827">
        <v>37</v>
      </c>
      <c r="E21" s="828">
        <v>45849</v>
      </c>
      <c r="F21" s="828"/>
      <c r="G21" s="825"/>
    </row>
    <row r="22" spans="1:7" ht="12.75">
      <c r="A22" s="826" t="s">
        <v>571</v>
      </c>
      <c r="B22" s="1446" t="s">
        <v>572</v>
      </c>
      <c r="C22" s="1446"/>
      <c r="D22" s="827"/>
      <c r="E22" s="828"/>
      <c r="F22" s="828">
        <v>940</v>
      </c>
      <c r="G22" s="825"/>
    </row>
    <row r="23" spans="1:7" ht="12.75">
      <c r="A23" s="826" t="s">
        <v>573</v>
      </c>
      <c r="B23" s="1446" t="s">
        <v>574</v>
      </c>
      <c r="C23" s="1446"/>
      <c r="D23" s="827"/>
      <c r="E23" s="828"/>
      <c r="F23" s="828"/>
      <c r="G23" s="825"/>
    </row>
    <row r="24" spans="1:7" ht="12.75">
      <c r="A24" s="826" t="s">
        <v>575</v>
      </c>
      <c r="B24" s="1446" t="s">
        <v>576</v>
      </c>
      <c r="C24" s="1446"/>
      <c r="D24" s="827">
        <v>8</v>
      </c>
      <c r="E24" s="828">
        <v>9746</v>
      </c>
      <c r="F24" s="828"/>
      <c r="G24" s="825"/>
    </row>
    <row r="25" spans="1:7" ht="12.75">
      <c r="A25" s="826" t="s">
        <v>577</v>
      </c>
      <c r="B25" s="1446" t="s">
        <v>578</v>
      </c>
      <c r="C25" s="1446"/>
      <c r="D25" s="827"/>
      <c r="E25" s="828"/>
      <c r="F25" s="828"/>
      <c r="G25" s="825"/>
    </row>
    <row r="26" spans="1:7" ht="12.75">
      <c r="A26" s="826" t="s">
        <v>579</v>
      </c>
      <c r="B26" s="1446" t="s">
        <v>580</v>
      </c>
      <c r="C26" s="1446"/>
      <c r="D26" s="827"/>
      <c r="E26" s="828"/>
      <c r="F26" s="828"/>
      <c r="G26" s="825"/>
    </row>
    <row r="27" spans="1:7" ht="12.75">
      <c r="A27" s="826" t="s">
        <v>581</v>
      </c>
      <c r="B27" s="1446" t="s">
        <v>582</v>
      </c>
      <c r="C27" s="1446"/>
      <c r="D27" s="827"/>
      <c r="E27" s="828"/>
      <c r="F27" s="828"/>
      <c r="G27" s="825"/>
    </row>
    <row r="28" spans="1:7" ht="12.75">
      <c r="A28" s="826" t="s">
        <v>583</v>
      </c>
      <c r="B28" s="1446" t="s">
        <v>584</v>
      </c>
      <c r="C28" s="1446"/>
      <c r="D28" s="827"/>
      <c r="E28" s="828"/>
      <c r="F28" s="828">
        <v>4000</v>
      </c>
      <c r="G28" s="825"/>
    </row>
    <row r="29" spans="1:7" ht="12.75">
      <c r="A29" s="826" t="s">
        <v>585</v>
      </c>
      <c r="B29" s="1446" t="s">
        <v>586</v>
      </c>
      <c r="C29" s="1446"/>
      <c r="D29" s="827"/>
      <c r="E29" s="828"/>
      <c r="F29" s="828"/>
      <c r="G29" s="825"/>
    </row>
    <row r="30" spans="1:7" ht="12.75">
      <c r="A30" s="826" t="s">
        <v>587</v>
      </c>
      <c r="B30" s="1446" t="s">
        <v>588</v>
      </c>
      <c r="C30" s="1446"/>
      <c r="D30" s="827"/>
      <c r="E30" s="828"/>
      <c r="F30" s="828"/>
      <c r="G30" s="825"/>
    </row>
    <row r="31" spans="1:7" ht="12.75">
      <c r="A31" s="826" t="s">
        <v>589</v>
      </c>
      <c r="B31" s="1446" t="s">
        <v>590</v>
      </c>
      <c r="C31" s="1446"/>
      <c r="D31" s="827"/>
      <c r="E31" s="828"/>
      <c r="F31" s="828"/>
      <c r="G31" s="825"/>
    </row>
    <row r="32" spans="1:7" ht="12.75">
      <c r="A32" s="826" t="s">
        <v>591</v>
      </c>
      <c r="B32" s="1446" t="s">
        <v>592</v>
      </c>
      <c r="C32" s="1446"/>
      <c r="D32" s="827"/>
      <c r="E32" s="828"/>
      <c r="F32" s="828"/>
      <c r="G32" s="825"/>
    </row>
    <row r="33" spans="1:7" ht="12.75">
      <c r="A33" s="826" t="s">
        <v>593</v>
      </c>
      <c r="B33" s="1446" t="s">
        <v>594</v>
      </c>
      <c r="C33" s="1446"/>
      <c r="D33" s="827">
        <v>8</v>
      </c>
      <c r="E33" s="828">
        <v>8645</v>
      </c>
      <c r="F33" s="828"/>
      <c r="G33" s="825"/>
    </row>
    <row r="34" spans="1:7" ht="12.75">
      <c r="A34" s="826" t="s">
        <v>595</v>
      </c>
      <c r="B34" s="1446" t="s">
        <v>192</v>
      </c>
      <c r="C34" s="1446"/>
      <c r="D34" s="827">
        <v>30</v>
      </c>
      <c r="E34" s="828">
        <v>27811</v>
      </c>
      <c r="F34" s="828"/>
      <c r="G34" s="825"/>
    </row>
    <row r="35" spans="1:7" ht="12.75">
      <c r="A35" s="826" t="s">
        <v>596</v>
      </c>
      <c r="B35" s="1446" t="s">
        <v>26</v>
      </c>
      <c r="C35" s="1446"/>
      <c r="D35" s="827">
        <v>1100</v>
      </c>
      <c r="E35" s="828">
        <v>928855</v>
      </c>
      <c r="F35" s="828"/>
      <c r="G35" s="825"/>
    </row>
    <row r="36" spans="1:7" ht="12.75">
      <c r="A36" s="826" t="s">
        <v>597</v>
      </c>
      <c r="B36" s="1446" t="s">
        <v>598</v>
      </c>
      <c r="C36" s="1446"/>
      <c r="D36" s="827"/>
      <c r="E36" s="828"/>
      <c r="F36" s="828"/>
      <c r="G36" s="825"/>
    </row>
    <row r="37" spans="1:7" ht="12.75">
      <c r="A37" s="826" t="s">
        <v>599</v>
      </c>
      <c r="B37" s="1446" t="s">
        <v>600</v>
      </c>
      <c r="C37" s="1446"/>
      <c r="D37" s="827">
        <v>16</v>
      </c>
      <c r="E37" s="828">
        <v>15379</v>
      </c>
      <c r="F37" s="828">
        <v>27078</v>
      </c>
      <c r="G37" s="825"/>
    </row>
    <row r="38" spans="1:7" ht="12.75">
      <c r="A38" s="829" t="s">
        <v>601</v>
      </c>
      <c r="B38" s="1449" t="s">
        <v>602</v>
      </c>
      <c r="C38" s="1449"/>
      <c r="D38" s="827"/>
      <c r="E38" s="828"/>
      <c r="F38" s="828"/>
      <c r="G38" s="825"/>
    </row>
    <row r="39" spans="1:7" ht="12.75">
      <c r="A39" s="830"/>
      <c r="B39" s="831"/>
      <c r="C39" s="832"/>
      <c r="D39" s="825"/>
      <c r="E39" s="825"/>
      <c r="F39" s="825"/>
      <c r="G39" s="825"/>
    </row>
    <row r="40" spans="1:7" ht="12.75">
      <c r="A40" s="830"/>
      <c r="B40" s="831"/>
      <c r="C40" s="832"/>
      <c r="D40" s="825"/>
      <c r="E40" s="825"/>
      <c r="F40" s="825"/>
      <c r="G40" s="825"/>
    </row>
    <row r="41" spans="1:7" ht="12.75">
      <c r="A41" s="830"/>
      <c r="B41" s="831"/>
      <c r="C41" s="832"/>
      <c r="D41" s="825"/>
      <c r="E41" s="825"/>
      <c r="F41" s="825"/>
      <c r="G41" s="825"/>
    </row>
    <row r="42" spans="1:7" ht="12.75">
      <c r="A42" s="830"/>
      <c r="B42" s="831"/>
      <c r="C42" s="832"/>
      <c r="D42" s="825"/>
      <c r="E42" s="825"/>
      <c r="F42" s="825"/>
      <c r="G42" s="825"/>
    </row>
    <row r="43" spans="1:7" ht="12.75">
      <c r="A43" s="814" t="s">
        <v>1407</v>
      </c>
      <c r="B43" s="1450" t="s">
        <v>1408</v>
      </c>
      <c r="C43" s="1450"/>
      <c r="D43" s="1451" t="s">
        <v>1409</v>
      </c>
      <c r="E43" s="1451" t="s">
        <v>1410</v>
      </c>
      <c r="F43" s="1451" t="s">
        <v>1411</v>
      </c>
      <c r="G43" s="816"/>
    </row>
    <row r="44" spans="1:7" ht="12.75">
      <c r="A44" s="817" t="s">
        <v>1412</v>
      </c>
      <c r="B44" s="1452" t="s">
        <v>1413</v>
      </c>
      <c r="C44" s="1452"/>
      <c r="D44" s="1451"/>
      <c r="E44" s="1451"/>
      <c r="F44" s="1451"/>
      <c r="G44" s="816"/>
    </row>
    <row r="45" spans="1:7" ht="12.75">
      <c r="A45" s="815"/>
      <c r="B45" s="814"/>
      <c r="C45" s="833"/>
      <c r="D45" s="815"/>
      <c r="E45" s="815"/>
      <c r="F45" s="815"/>
      <c r="G45" s="816"/>
    </row>
    <row r="46" spans="1:7" ht="12.75">
      <c r="A46" s="817"/>
      <c r="B46" s="834"/>
      <c r="C46" s="835"/>
      <c r="D46" s="822"/>
      <c r="E46" s="817"/>
      <c r="F46" s="817"/>
      <c r="G46" s="816"/>
    </row>
    <row r="47" spans="1:7" ht="12.75">
      <c r="A47" s="1452" t="s">
        <v>603</v>
      </c>
      <c r="B47" s="1450" t="s">
        <v>608</v>
      </c>
      <c r="C47" s="1450"/>
      <c r="D47" s="815"/>
      <c r="E47" s="815"/>
      <c r="F47" s="815"/>
      <c r="G47" s="816"/>
    </row>
    <row r="48" spans="1:7" ht="12.75">
      <c r="A48" s="1452"/>
      <c r="B48" s="1453" t="s">
        <v>609</v>
      </c>
      <c r="C48" s="1453"/>
      <c r="D48" s="836"/>
      <c r="E48" s="836"/>
      <c r="F48" s="836"/>
      <c r="G48" s="825"/>
    </row>
    <row r="49" spans="1:7" ht="12.75">
      <c r="A49" s="826" t="s">
        <v>610</v>
      </c>
      <c r="B49" s="1446" t="s">
        <v>611</v>
      </c>
      <c r="C49" s="1446"/>
      <c r="D49" s="827">
        <v>4334</v>
      </c>
      <c r="E49" s="828">
        <v>4762473</v>
      </c>
      <c r="F49" s="828">
        <v>2828292</v>
      </c>
      <c r="G49" s="825"/>
    </row>
    <row r="50" spans="1:7" ht="12.75">
      <c r="A50" s="826" t="s">
        <v>612</v>
      </c>
      <c r="B50" s="1446" t="s">
        <v>613</v>
      </c>
      <c r="C50" s="1446"/>
      <c r="D50" s="827">
        <v>16</v>
      </c>
      <c r="E50" s="828">
        <v>15552</v>
      </c>
      <c r="F50" s="828">
        <v>15997</v>
      </c>
      <c r="G50" s="825"/>
    </row>
    <row r="51" spans="1:7" ht="12.75">
      <c r="A51" s="826" t="s">
        <v>614</v>
      </c>
      <c r="B51" s="1446" t="s">
        <v>615</v>
      </c>
      <c r="C51" s="1446"/>
      <c r="D51" s="827"/>
      <c r="E51" s="828"/>
      <c r="F51" s="828"/>
      <c r="G51" s="825"/>
    </row>
    <row r="52" spans="1:7" ht="12.75">
      <c r="A52" s="1447">
        <v>112</v>
      </c>
      <c r="B52" s="1448" t="s">
        <v>616</v>
      </c>
      <c r="C52" s="1448"/>
      <c r="D52" s="837"/>
      <c r="E52" s="838"/>
      <c r="F52" s="838"/>
      <c r="G52" s="825"/>
    </row>
    <row r="53" spans="1:7" ht="12.75">
      <c r="A53" s="1447"/>
      <c r="B53" s="1448" t="s">
        <v>617</v>
      </c>
      <c r="C53" s="1448"/>
      <c r="D53" s="839">
        <v>1377</v>
      </c>
      <c r="E53" s="840">
        <v>1493354</v>
      </c>
      <c r="F53" s="840">
        <v>678302</v>
      </c>
      <c r="G53" s="825"/>
    </row>
    <row r="54" spans="1:7" ht="12.75">
      <c r="A54" s="841">
        <v>113</v>
      </c>
      <c r="B54" s="1446" t="s">
        <v>368</v>
      </c>
      <c r="C54" s="1446"/>
      <c r="D54" s="827">
        <v>137</v>
      </c>
      <c r="E54" s="828">
        <v>140734</v>
      </c>
      <c r="F54" s="828"/>
      <c r="G54" s="825"/>
    </row>
    <row r="55" spans="1:7" ht="12.75">
      <c r="A55" s="841">
        <v>114</v>
      </c>
      <c r="B55" s="1446" t="s">
        <v>1490</v>
      </c>
      <c r="C55" s="1446"/>
      <c r="D55" s="827"/>
      <c r="E55" s="828"/>
      <c r="F55" s="828"/>
      <c r="G55" s="825"/>
    </row>
    <row r="56" spans="1:7" ht="12.75">
      <c r="A56" s="841">
        <v>115</v>
      </c>
      <c r="B56" s="1446" t="s">
        <v>623</v>
      </c>
      <c r="C56" s="1446"/>
      <c r="D56" s="827"/>
      <c r="E56" s="828"/>
      <c r="F56" s="828"/>
      <c r="G56" s="825"/>
    </row>
    <row r="57" spans="1:7" ht="12.75">
      <c r="A57" s="1444">
        <v>116</v>
      </c>
      <c r="B57" s="1439" t="s">
        <v>1355</v>
      </c>
      <c r="C57" s="1439"/>
      <c r="D57" s="837"/>
      <c r="E57" s="838"/>
      <c r="F57" s="838"/>
      <c r="G57" s="825"/>
    </row>
    <row r="58" spans="1:7" ht="12.75">
      <c r="A58" s="1444"/>
      <c r="B58" s="1443" t="s">
        <v>624</v>
      </c>
      <c r="C58" s="1443"/>
      <c r="D58" s="839">
        <v>3644</v>
      </c>
      <c r="E58" s="840">
        <v>3379017</v>
      </c>
      <c r="F58" s="840">
        <v>527856</v>
      </c>
      <c r="G58" s="825"/>
    </row>
    <row r="59" spans="1:7" ht="12.75">
      <c r="A59" s="841">
        <v>117</v>
      </c>
      <c r="B59" s="1446" t="s">
        <v>625</v>
      </c>
      <c r="C59" s="1446"/>
      <c r="D59" s="827"/>
      <c r="E59" s="828"/>
      <c r="F59" s="828"/>
      <c r="G59" s="825"/>
    </row>
    <row r="60" spans="1:7" ht="12.75">
      <c r="A60" s="841">
        <v>118</v>
      </c>
      <c r="B60" s="1446" t="s">
        <v>626</v>
      </c>
      <c r="C60" s="1446"/>
      <c r="D60" s="827">
        <v>10</v>
      </c>
      <c r="E60" s="828">
        <v>6562</v>
      </c>
      <c r="F60" s="828"/>
      <c r="G60" s="825"/>
    </row>
    <row r="61" spans="1:7" ht="12.75">
      <c r="A61" s="841">
        <v>124</v>
      </c>
      <c r="B61" s="1446" t="s">
        <v>270</v>
      </c>
      <c r="C61" s="1446"/>
      <c r="D61" s="827">
        <v>1781</v>
      </c>
      <c r="E61" s="828">
        <v>1701217</v>
      </c>
      <c r="F61" s="828">
        <v>1533146</v>
      </c>
      <c r="G61" s="825"/>
    </row>
    <row r="62" spans="1:7" ht="12.75">
      <c r="A62" s="841">
        <v>125</v>
      </c>
      <c r="B62" s="1446" t="s">
        <v>627</v>
      </c>
      <c r="C62" s="1446"/>
      <c r="D62" s="827">
        <v>1827</v>
      </c>
      <c r="E62" s="828">
        <v>3240036</v>
      </c>
      <c r="F62" s="828">
        <v>783489</v>
      </c>
      <c r="G62" s="825"/>
    </row>
    <row r="63" spans="1:7" ht="12.75">
      <c r="A63" s="841">
        <v>126</v>
      </c>
      <c r="B63" s="1446" t="s">
        <v>271</v>
      </c>
      <c r="C63" s="1446"/>
      <c r="D63" s="827"/>
      <c r="E63" s="828"/>
      <c r="F63" s="828"/>
      <c r="G63" s="825"/>
    </row>
    <row r="64" spans="1:7" ht="12.75">
      <c r="A64" s="841">
        <v>128</v>
      </c>
      <c r="B64" s="1446" t="s">
        <v>272</v>
      </c>
      <c r="C64" s="1446"/>
      <c r="D64" s="827"/>
      <c r="E64" s="828"/>
      <c r="F64" s="828"/>
      <c r="G64" s="825"/>
    </row>
    <row r="65" spans="1:7" ht="12.75">
      <c r="A65" s="841">
        <v>138</v>
      </c>
      <c r="B65" s="1446" t="s">
        <v>628</v>
      </c>
      <c r="C65" s="1446"/>
      <c r="D65" s="827"/>
      <c r="E65" s="828"/>
      <c r="F65" s="828"/>
      <c r="G65" s="825"/>
    </row>
    <row r="66" spans="1:7" ht="12.75">
      <c r="A66" s="841">
        <v>140</v>
      </c>
      <c r="B66" s="1446" t="s">
        <v>629</v>
      </c>
      <c r="C66" s="1446"/>
      <c r="D66" s="827">
        <v>2688</v>
      </c>
      <c r="E66" s="828">
        <v>2267737</v>
      </c>
      <c r="F66" s="828">
        <v>460336</v>
      </c>
      <c r="G66" s="825"/>
    </row>
    <row r="67" spans="1:7" ht="12.75">
      <c r="A67" s="841">
        <v>142</v>
      </c>
      <c r="B67" s="842" t="s">
        <v>630</v>
      </c>
      <c r="C67" s="843"/>
      <c r="D67" s="827">
        <v>47</v>
      </c>
      <c r="E67" s="828">
        <v>44625</v>
      </c>
      <c r="F67" s="828"/>
      <c r="G67" s="825"/>
    </row>
    <row r="68" spans="1:7" ht="12.75">
      <c r="A68" s="841">
        <v>144</v>
      </c>
      <c r="B68" s="1446" t="s">
        <v>631</v>
      </c>
      <c r="C68" s="1446"/>
      <c r="D68" s="827"/>
      <c r="E68" s="828"/>
      <c r="F68" s="828"/>
      <c r="G68" s="825"/>
    </row>
    <row r="69" spans="1:7" ht="12.75">
      <c r="A69" s="1438">
        <v>154</v>
      </c>
      <c r="B69" s="1439" t="s">
        <v>632</v>
      </c>
      <c r="C69" s="1439"/>
      <c r="D69" s="837"/>
      <c r="E69" s="838"/>
      <c r="F69" s="838"/>
      <c r="G69" s="825"/>
    </row>
    <row r="70" spans="1:7" ht="12.75">
      <c r="A70" s="1438"/>
      <c r="B70" s="1442" t="s">
        <v>633</v>
      </c>
      <c r="C70" s="1442"/>
      <c r="D70" s="844"/>
      <c r="E70" s="845"/>
      <c r="F70" s="845"/>
      <c r="G70" s="825"/>
    </row>
    <row r="71" spans="1:7" ht="12.75">
      <c r="A71" s="1438"/>
      <c r="B71" s="1443" t="s">
        <v>634</v>
      </c>
      <c r="C71" s="1443"/>
      <c r="D71" s="839"/>
      <c r="E71" s="840"/>
      <c r="F71" s="840"/>
      <c r="G71" s="825"/>
    </row>
    <row r="72" spans="1:7" ht="12.75">
      <c r="A72" s="1444">
        <v>158</v>
      </c>
      <c r="B72" s="1439" t="s">
        <v>635</v>
      </c>
      <c r="C72" s="1439"/>
      <c r="D72" s="837"/>
      <c r="E72" s="838"/>
      <c r="F72" s="838"/>
      <c r="G72" s="825"/>
    </row>
    <row r="73" spans="1:7" ht="12.75">
      <c r="A73" s="1444"/>
      <c r="B73" s="1440" t="s">
        <v>636</v>
      </c>
      <c r="C73" s="1440"/>
      <c r="D73" s="839"/>
      <c r="E73" s="840"/>
      <c r="F73" s="840"/>
      <c r="G73" s="825"/>
    </row>
    <row r="74" spans="1:7" ht="12.75">
      <c r="A74" s="1438">
        <v>159</v>
      </c>
      <c r="B74" s="1439" t="s">
        <v>637</v>
      </c>
      <c r="C74" s="1439"/>
      <c r="D74" s="837"/>
      <c r="E74" s="838"/>
      <c r="F74" s="838"/>
      <c r="G74" s="825"/>
    </row>
    <row r="75" spans="1:7" ht="12.75">
      <c r="A75" s="1438"/>
      <c r="B75" s="1440" t="s">
        <v>1204</v>
      </c>
      <c r="C75" s="1440"/>
      <c r="D75" s="839"/>
      <c r="E75" s="840"/>
      <c r="F75" s="840"/>
      <c r="G75" s="825"/>
    </row>
    <row r="76" spans="1:7" ht="12.75">
      <c r="A76" s="841">
        <v>160</v>
      </c>
      <c r="B76" s="1446" t="s">
        <v>638</v>
      </c>
      <c r="C76" s="1446"/>
      <c r="D76" s="827"/>
      <c r="E76" s="828"/>
      <c r="F76" s="828"/>
      <c r="G76" s="825"/>
    </row>
    <row r="77" spans="1:7" ht="12.75">
      <c r="A77" s="841">
        <v>162</v>
      </c>
      <c r="B77" s="1446" t="s">
        <v>639</v>
      </c>
      <c r="C77" s="1446"/>
      <c r="D77" s="827">
        <v>8</v>
      </c>
      <c r="E77" s="828">
        <v>8856</v>
      </c>
      <c r="F77" s="828"/>
      <c r="G77" s="825"/>
    </row>
    <row r="78" spans="1:7" ht="12.75">
      <c r="A78" s="841">
        <v>172</v>
      </c>
      <c r="B78" s="1446" t="s">
        <v>640</v>
      </c>
      <c r="C78" s="1446"/>
      <c r="D78" s="827">
        <v>53</v>
      </c>
      <c r="E78" s="828">
        <v>50095</v>
      </c>
      <c r="F78" s="828"/>
      <c r="G78" s="825"/>
    </row>
    <row r="79" spans="1:7" ht="12.75">
      <c r="A79" s="826" t="s">
        <v>641</v>
      </c>
      <c r="B79" s="1446" t="s">
        <v>642</v>
      </c>
      <c r="C79" s="1446"/>
      <c r="D79" s="827">
        <v>1179</v>
      </c>
      <c r="E79" s="828">
        <v>1247140</v>
      </c>
      <c r="F79" s="828">
        <v>1519106</v>
      </c>
      <c r="G79" s="825"/>
    </row>
    <row r="80" spans="1:7" ht="12.75">
      <c r="A80" s="1441" t="s">
        <v>1468</v>
      </c>
      <c r="B80" s="1441"/>
      <c r="C80" s="1441"/>
      <c r="D80" s="837"/>
      <c r="E80" s="837"/>
      <c r="F80" s="837"/>
      <c r="G80" s="825"/>
    </row>
    <row r="81" spans="1:7" ht="12.75">
      <c r="A81" s="1441"/>
      <c r="B81" s="1441"/>
      <c r="C81" s="1441"/>
      <c r="D81" s="840">
        <f>SUM(D15:D79)</f>
        <v>29784</v>
      </c>
      <c r="E81" s="840">
        <f>SUM(E15,E16,E17,E18,E19,E21,E24,E33,E34,E35,E37,E49,E50,E53,E54,E58,E60,E61,E62,E66,E67,E77,E78,E79)</f>
        <v>29402847</v>
      </c>
      <c r="F81" s="840">
        <f>SUM(F15:F79)</f>
        <v>8733136</v>
      </c>
      <c r="G81" s="825"/>
    </row>
    <row r="82" spans="4:7" ht="12.75">
      <c r="D82" s="825"/>
      <c r="E82" s="825"/>
      <c r="F82" s="825"/>
      <c r="G82" s="825"/>
    </row>
    <row r="83" spans="1:7" ht="12.75">
      <c r="A83" s="10" t="s">
        <v>643</v>
      </c>
      <c r="B83" s="10"/>
      <c r="D83" s="825"/>
      <c r="E83" s="825"/>
      <c r="F83" s="825"/>
      <c r="G83" s="825"/>
    </row>
    <row r="84" spans="1:7" ht="12.75">
      <c r="A84" s="10"/>
      <c r="B84" s="10"/>
      <c r="D84" s="825"/>
      <c r="E84" s="825"/>
      <c r="F84" s="825"/>
      <c r="G84" s="825"/>
    </row>
    <row r="85" spans="5:6" ht="12.75">
      <c r="E85" s="1445" t="s">
        <v>477</v>
      </c>
      <c r="F85" s="1445"/>
    </row>
    <row r="86" spans="5:6" ht="12.75">
      <c r="E86" s="1445" t="s">
        <v>644</v>
      </c>
      <c r="F86" s="1445"/>
    </row>
  </sheetData>
  <sheetProtection/>
  <mergeCells count="80">
    <mergeCell ref="A2:F2"/>
    <mergeCell ref="A4:F4"/>
    <mergeCell ref="B7:E7"/>
    <mergeCell ref="B10:C10"/>
    <mergeCell ref="D10:D11"/>
    <mergeCell ref="E10:E11"/>
    <mergeCell ref="F10:F11"/>
    <mergeCell ref="G10:G11"/>
    <mergeCell ref="B11:C11"/>
    <mergeCell ref="B14:C14"/>
    <mergeCell ref="B15:C15"/>
    <mergeCell ref="B16:C16"/>
    <mergeCell ref="B17:C17"/>
    <mergeCell ref="B18:C18"/>
    <mergeCell ref="B19:C19"/>
    <mergeCell ref="B36:C36"/>
    <mergeCell ref="B37:C37"/>
    <mergeCell ref="B32:C32"/>
    <mergeCell ref="B33:C33"/>
    <mergeCell ref="B28:C28"/>
    <mergeCell ref="B29:C29"/>
    <mergeCell ref="B22:C22"/>
    <mergeCell ref="B23:C23"/>
    <mergeCell ref="B20:C20"/>
    <mergeCell ref="B21:C21"/>
    <mergeCell ref="B34:C34"/>
    <mergeCell ref="B35:C35"/>
    <mergeCell ref="B24:C24"/>
    <mergeCell ref="B25:C25"/>
    <mergeCell ref="B26:C26"/>
    <mergeCell ref="B27:C27"/>
    <mergeCell ref="B30:C30"/>
    <mergeCell ref="B31:C31"/>
    <mergeCell ref="F43:F44"/>
    <mergeCell ref="B44:C44"/>
    <mergeCell ref="E43:E44"/>
    <mergeCell ref="A47:A48"/>
    <mergeCell ref="B47:C47"/>
    <mergeCell ref="B48:C48"/>
    <mergeCell ref="D43:D44"/>
    <mergeCell ref="B53:C53"/>
    <mergeCell ref="B38:C38"/>
    <mergeCell ref="B43:C43"/>
    <mergeCell ref="B49:C49"/>
    <mergeCell ref="B50:C50"/>
    <mergeCell ref="B51:C51"/>
    <mergeCell ref="A52:A53"/>
    <mergeCell ref="B52:C52"/>
    <mergeCell ref="B59:C59"/>
    <mergeCell ref="B60:C60"/>
    <mergeCell ref="B54:C54"/>
    <mergeCell ref="A57:A58"/>
    <mergeCell ref="B57:C57"/>
    <mergeCell ref="B58:C58"/>
    <mergeCell ref="B55:C55"/>
    <mergeCell ref="B56:C56"/>
    <mergeCell ref="B73:C73"/>
    <mergeCell ref="B61:C61"/>
    <mergeCell ref="B66:C66"/>
    <mergeCell ref="B68:C68"/>
    <mergeCell ref="B64:C64"/>
    <mergeCell ref="B65:C65"/>
    <mergeCell ref="B62:C62"/>
    <mergeCell ref="B63:C63"/>
    <mergeCell ref="E85:F85"/>
    <mergeCell ref="E86:F86"/>
    <mergeCell ref="B76:C76"/>
    <mergeCell ref="B77:C77"/>
    <mergeCell ref="B78:C78"/>
    <mergeCell ref="B79:C79"/>
    <mergeCell ref="A74:A75"/>
    <mergeCell ref="B74:C74"/>
    <mergeCell ref="B75:C75"/>
    <mergeCell ref="A80:C81"/>
    <mergeCell ref="A69:A71"/>
    <mergeCell ref="B69:C69"/>
    <mergeCell ref="B70:C70"/>
    <mergeCell ref="B71:C71"/>
    <mergeCell ref="A72:A73"/>
    <mergeCell ref="B72:C72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2.28125" style="0" customWidth="1"/>
    <col min="3" max="3" width="10.421875" style="0" customWidth="1"/>
    <col min="4" max="4" width="11.421875" style="0" customWidth="1"/>
    <col min="5" max="5" width="11.28125" style="0" customWidth="1"/>
    <col min="7" max="7" width="9.28125" style="0" customWidth="1"/>
    <col min="8" max="8" width="13.7109375" style="0" customWidth="1"/>
  </cols>
  <sheetData>
    <row r="3" spans="3:9" ht="12.75">
      <c r="C3" t="s">
        <v>838</v>
      </c>
      <c r="D3" t="s">
        <v>1153</v>
      </c>
      <c r="E3" t="s">
        <v>842</v>
      </c>
      <c r="G3" t="s">
        <v>843</v>
      </c>
      <c r="I3" t="s">
        <v>845</v>
      </c>
    </row>
    <row r="4" spans="2:9" ht="12.75">
      <c r="B4" t="s">
        <v>839</v>
      </c>
      <c r="C4" s="8">
        <f>'10m'!O20</f>
        <v>101280</v>
      </c>
      <c r="D4">
        <v>0</v>
      </c>
      <c r="E4" s="8">
        <f>C4-D4</f>
        <v>101280</v>
      </c>
      <c r="G4" s="8">
        <f>'10m'!O31</f>
        <v>54964</v>
      </c>
      <c r="I4" s="8">
        <f>E4-G4</f>
        <v>46316</v>
      </c>
    </row>
    <row r="5" spans="2:9" ht="12.75">
      <c r="B5" t="s">
        <v>840</v>
      </c>
      <c r="C5" s="8">
        <f>2am!B31+2am!B32+2am!F31+2am!F32+2am!J31+2am!J32+2am!J33+2am!J34+2am!J35</f>
        <v>89109</v>
      </c>
      <c r="D5" s="8">
        <f>1am!B48+1am!B49+1am!B50+1am!B51+1am!B52</f>
        <v>46971</v>
      </c>
      <c r="E5" s="8">
        <f>C5-D5</f>
        <v>42138</v>
      </c>
      <c r="G5">
        <f>316*102+7140</f>
        <v>39372</v>
      </c>
      <c r="H5" t="s">
        <v>844</v>
      </c>
      <c r="I5" s="8">
        <f>E5-G5</f>
        <v>2766</v>
      </c>
    </row>
    <row r="6" spans="2:9" ht="12.75">
      <c r="B6" t="s">
        <v>336</v>
      </c>
      <c r="C6" s="8">
        <f>'11m'!O21</f>
        <v>77556</v>
      </c>
      <c r="D6" s="8">
        <f>'11m'!O26</f>
        <v>27434</v>
      </c>
      <c r="E6" s="8">
        <f>C6-D6</f>
        <v>50122</v>
      </c>
      <c r="G6" s="8">
        <f>'11m'!O30+'11m'!O31+'11m'!O32+'11m'!O33</f>
        <v>35375</v>
      </c>
      <c r="I6" s="8">
        <f>E6-G6</f>
        <v>14747</v>
      </c>
    </row>
    <row r="7" spans="2:9" ht="12.75">
      <c r="B7" t="s">
        <v>841</v>
      </c>
      <c r="C7" s="8">
        <f>'12m'!O23</f>
        <v>42142</v>
      </c>
      <c r="D7" s="8">
        <f>'12m'!O26+'12m'!O27+'12m'!O28+'12m'!O29+'12m'!O30</f>
        <v>20696</v>
      </c>
      <c r="E7" s="8">
        <f>C7-D7</f>
        <v>21446</v>
      </c>
      <c r="G7">
        <v>6102</v>
      </c>
      <c r="I7" s="8">
        <f>E7-G7</f>
        <v>15344</v>
      </c>
    </row>
    <row r="9" spans="3:9" ht="12.75">
      <c r="C9" s="8">
        <f>SUM(C4:C8)</f>
        <v>310087</v>
      </c>
      <c r="D9" s="8">
        <f>SUM(D4:D8)</f>
        <v>95101</v>
      </c>
      <c r="E9" s="8">
        <f>SUM(E4:E8)</f>
        <v>214986</v>
      </c>
      <c r="F9" s="8"/>
      <c r="G9" s="8">
        <f>SUM(G4:G8)</f>
        <v>135813</v>
      </c>
      <c r="I9" s="8">
        <f>SUM(I4:I8)</f>
        <v>79173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9"/>
  <sheetViews>
    <sheetView view="pageBreakPreview" zoomScale="75" zoomScaleNormal="85" zoomScaleSheetLayoutView="75" zoomScalePageLayoutView="0" workbookViewId="0" topLeftCell="A13">
      <selection activeCell="A32" sqref="A32:E69"/>
    </sheetView>
  </sheetViews>
  <sheetFormatPr defaultColWidth="9.140625" defaultRowHeight="12.75"/>
  <cols>
    <col min="1" max="1" width="13.57421875" style="91" bestFit="1" customWidth="1"/>
    <col min="2" max="2" width="81.7109375" style="91" customWidth="1"/>
    <col min="3" max="3" width="14.57421875" style="91" customWidth="1"/>
    <col min="4" max="4" width="12.8515625" style="91" customWidth="1"/>
    <col min="5" max="5" width="19.00390625" style="91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4" t="s">
        <v>402</v>
      </c>
    </row>
    <row r="2" spans="1:5" ht="73.5" customHeight="1">
      <c r="A2" s="1459" t="s">
        <v>384</v>
      </c>
      <c r="B2" s="1460"/>
      <c r="C2" s="1460"/>
      <c r="D2" s="1460"/>
      <c r="E2" s="1460"/>
    </row>
    <row r="4" spans="1:5" ht="15">
      <c r="A4" s="1382" t="s">
        <v>164</v>
      </c>
      <c r="B4" s="1382"/>
      <c r="C4" s="1382"/>
      <c r="D4" s="1382"/>
      <c r="E4" s="1382"/>
    </row>
    <row r="7" spans="1:5" ht="15">
      <c r="A7" s="1387" t="s">
        <v>1008</v>
      </c>
      <c r="B7" s="1387"/>
      <c r="C7" s="1387"/>
      <c r="D7" s="1387"/>
      <c r="E7" s="1387"/>
    </row>
    <row r="8" spans="1:5" ht="15.75">
      <c r="A8" s="30"/>
      <c r="B8" s="30"/>
      <c r="C8" s="30"/>
      <c r="D8" s="30"/>
      <c r="E8" s="292"/>
    </row>
    <row r="9" spans="1:5" ht="15">
      <c r="A9" s="99">
        <v>92211</v>
      </c>
      <c r="B9" s="99" t="s">
        <v>1095</v>
      </c>
      <c r="C9" s="100"/>
      <c r="D9" s="100"/>
      <c r="E9" s="249">
        <v>22000</v>
      </c>
    </row>
    <row r="10" spans="1:5" ht="15">
      <c r="A10" s="99">
        <v>92217</v>
      </c>
      <c r="B10" s="99" t="s">
        <v>197</v>
      </c>
      <c r="C10" s="100"/>
      <c r="D10" s="100"/>
      <c r="E10" s="249">
        <v>80000</v>
      </c>
    </row>
    <row r="11" spans="1:5" ht="15">
      <c r="A11" s="99"/>
      <c r="B11" s="99" t="s">
        <v>1174</v>
      </c>
      <c r="C11" s="100"/>
      <c r="D11" s="100"/>
      <c r="E11" s="249">
        <v>0</v>
      </c>
    </row>
    <row r="12" spans="1:5" s="86" customFormat="1" ht="15">
      <c r="A12" s="440">
        <v>922</v>
      </c>
      <c r="B12" s="511" t="s">
        <v>811</v>
      </c>
      <c r="C12" s="516"/>
      <c r="D12" s="516"/>
      <c r="E12" s="873">
        <f>SUM(E9:E11)</f>
        <v>102000</v>
      </c>
    </row>
    <row r="13" spans="1:5" s="86" customFormat="1" ht="15">
      <c r="A13" s="99">
        <v>922181</v>
      </c>
      <c r="B13" s="99" t="s">
        <v>198</v>
      </c>
      <c r="C13" s="100"/>
      <c r="D13" s="100"/>
      <c r="E13" s="249">
        <v>100</v>
      </c>
    </row>
    <row r="14" spans="1:5" ht="15">
      <c r="A14" s="99">
        <v>92311</v>
      </c>
      <c r="B14" s="99" t="s">
        <v>194</v>
      </c>
      <c r="C14" s="100"/>
      <c r="D14" s="100"/>
      <c r="E14" s="249"/>
    </row>
    <row r="15" spans="1:6" ht="15">
      <c r="A15" s="99">
        <v>92312</v>
      </c>
      <c r="B15" s="99" t="s">
        <v>1098</v>
      </c>
      <c r="C15" s="100"/>
      <c r="D15" s="436"/>
      <c r="E15" s="249"/>
      <c r="F15" s="8">
        <f>E14+E15</f>
        <v>0</v>
      </c>
    </row>
    <row r="16" spans="1:5" ht="15">
      <c r="A16" s="99">
        <v>92314</v>
      </c>
      <c r="B16" s="99" t="s">
        <v>196</v>
      </c>
      <c r="C16" s="100"/>
      <c r="D16" s="100"/>
      <c r="E16" s="249">
        <v>12800</v>
      </c>
    </row>
    <row r="17" spans="1:5" ht="15">
      <c r="A17" s="440">
        <v>923</v>
      </c>
      <c r="B17" s="153" t="s">
        <v>98</v>
      </c>
      <c r="C17" s="440"/>
      <c r="D17" s="440"/>
      <c r="E17" s="874">
        <f>+E14+E15+E16</f>
        <v>12800</v>
      </c>
    </row>
    <row r="18" spans="1:5" ht="15">
      <c r="A18" s="99">
        <v>92411</v>
      </c>
      <c r="B18" s="99" t="s">
        <v>195</v>
      </c>
      <c r="C18" s="100"/>
      <c r="D18" s="100"/>
      <c r="E18" s="249"/>
    </row>
    <row r="19" spans="1:5" ht="15">
      <c r="A19" s="440">
        <v>924</v>
      </c>
      <c r="B19" s="153" t="s">
        <v>99</v>
      </c>
      <c r="C19" s="440"/>
      <c r="D19" s="440"/>
      <c r="E19" s="874">
        <f>+E18</f>
        <v>0</v>
      </c>
    </row>
    <row r="20" spans="1:5" ht="15">
      <c r="A20" s="475">
        <v>9251</v>
      </c>
      <c r="B20" s="476" t="s">
        <v>113</v>
      </c>
      <c r="C20" s="435"/>
      <c r="D20" s="435"/>
      <c r="E20" s="553"/>
    </row>
    <row r="21" spans="1:5" ht="15">
      <c r="A21" s="440">
        <v>925</v>
      </c>
      <c r="B21" s="153" t="s">
        <v>114</v>
      </c>
      <c r="C21" s="440"/>
      <c r="D21" s="440"/>
      <c r="E21" s="874">
        <f>+E20</f>
        <v>0</v>
      </c>
    </row>
    <row r="22" spans="1:5" ht="15">
      <c r="A22" s="99">
        <v>9261</v>
      </c>
      <c r="B22" s="99" t="s">
        <v>1099</v>
      </c>
      <c r="C22" s="100"/>
      <c r="D22" s="100"/>
      <c r="E22" s="249">
        <v>700</v>
      </c>
    </row>
    <row r="23" spans="1:5" ht="15.75" thickBot="1">
      <c r="A23" s="440">
        <v>926</v>
      </c>
      <c r="B23" s="153" t="s">
        <v>1099</v>
      </c>
      <c r="C23" s="440"/>
      <c r="D23" s="440"/>
      <c r="E23" s="1018">
        <f>+E22</f>
        <v>700</v>
      </c>
    </row>
    <row r="24" spans="1:5" ht="16.5" thickBot="1">
      <c r="A24" s="1461" t="s">
        <v>660</v>
      </c>
      <c r="B24" s="1462"/>
      <c r="C24" s="1462"/>
      <c r="D24" s="1462"/>
      <c r="E24" s="1019">
        <f>E12+E17+E19+E21+E23</f>
        <v>115500</v>
      </c>
    </row>
    <row r="25" spans="1:8" ht="15">
      <c r="A25" s="99">
        <v>929111</v>
      </c>
      <c r="B25" s="99" t="s">
        <v>257</v>
      </c>
      <c r="C25" s="100"/>
      <c r="D25" s="100"/>
      <c r="E25" s="1056">
        <v>3000</v>
      </c>
      <c r="H25" s="8"/>
    </row>
    <row r="26" spans="1:5" s="86" customFormat="1" ht="15">
      <c r="A26" s="473">
        <v>929112</v>
      </c>
      <c r="B26" s="473" t="s">
        <v>258</v>
      </c>
      <c r="C26" s="249"/>
      <c r="D26" s="249"/>
      <c r="E26" s="249"/>
    </row>
    <row r="27" spans="1:5" s="86" customFormat="1" ht="15">
      <c r="A27" s="473">
        <v>929113</v>
      </c>
      <c r="B27" s="473" t="s">
        <v>259</v>
      </c>
      <c r="C27" s="249">
        <v>350000</v>
      </c>
      <c r="D27" s="249"/>
      <c r="E27" s="968">
        <v>1000</v>
      </c>
    </row>
    <row r="28" spans="1:5" ht="15">
      <c r="A28" s="99">
        <v>92912</v>
      </c>
      <c r="B28" s="99" t="s">
        <v>260</v>
      </c>
      <c r="C28" s="100">
        <v>5000000</v>
      </c>
      <c r="D28" s="100"/>
      <c r="E28" s="968">
        <v>5000</v>
      </c>
    </row>
    <row r="29" spans="1:5" ht="15.75" thickBot="1">
      <c r="A29" s="512">
        <v>929</v>
      </c>
      <c r="B29" s="152" t="s">
        <v>1009</v>
      </c>
      <c r="C29" s="512"/>
      <c r="D29" s="512"/>
      <c r="E29" s="515">
        <f>+E25+E26+E27+E28</f>
        <v>9000</v>
      </c>
    </row>
    <row r="30" spans="1:5" ht="16.5" thickBot="1">
      <c r="A30" s="1461" t="s">
        <v>1299</v>
      </c>
      <c r="B30" s="1462"/>
      <c r="C30" s="1462"/>
      <c r="D30" s="1462"/>
      <c r="E30" s="470">
        <f>+E12+E17+E19+E21+E23+E29</f>
        <v>124500</v>
      </c>
    </row>
    <row r="32" spans="1:5" ht="15">
      <c r="A32" s="1463" t="s">
        <v>661</v>
      </c>
      <c r="B32" s="1463"/>
      <c r="C32" s="1463"/>
      <c r="D32" s="1463"/>
      <c r="E32" s="1463"/>
    </row>
    <row r="33" spans="1:5" ht="15">
      <c r="A33" s="473"/>
      <c r="B33" s="473" t="s">
        <v>212</v>
      </c>
      <c r="C33" s="249">
        <v>105881347</v>
      </c>
      <c r="D33" s="249"/>
      <c r="E33" s="249">
        <f aca="true" t="shared" si="0" ref="E33:E40">ROUND(C33,-3)/1000</f>
        <v>105881</v>
      </c>
    </row>
    <row r="34" spans="1:5" ht="15">
      <c r="A34" s="473"/>
      <c r="B34" s="473" t="s">
        <v>1175</v>
      </c>
      <c r="C34" s="249">
        <v>11700382</v>
      </c>
      <c r="D34" s="249"/>
      <c r="E34" s="249">
        <f t="shared" si="0"/>
        <v>11700</v>
      </c>
    </row>
    <row r="35" spans="1:5" ht="15">
      <c r="A35" s="473"/>
      <c r="B35" s="473" t="s">
        <v>1176</v>
      </c>
      <c r="C35" s="249">
        <v>16787599</v>
      </c>
      <c r="D35" s="249"/>
      <c r="E35" s="249">
        <f t="shared" si="0"/>
        <v>16788</v>
      </c>
    </row>
    <row r="36" spans="1:5" ht="15">
      <c r="A36" s="473"/>
      <c r="B36" s="473" t="s">
        <v>1178</v>
      </c>
      <c r="C36" s="249">
        <v>100000</v>
      </c>
      <c r="D36" s="249"/>
      <c r="E36" s="249">
        <f t="shared" si="0"/>
        <v>100</v>
      </c>
    </row>
    <row r="37" spans="1:5" ht="15">
      <c r="A37" s="473"/>
      <c r="B37" s="473" t="s">
        <v>1177</v>
      </c>
      <c r="C37" s="249">
        <v>3426260</v>
      </c>
      <c r="D37" s="249"/>
      <c r="E37" s="249">
        <f t="shared" si="0"/>
        <v>3426</v>
      </c>
    </row>
    <row r="38" spans="1:5" ht="15">
      <c r="A38" s="473"/>
      <c r="B38" s="473" t="s">
        <v>204</v>
      </c>
      <c r="C38" s="249">
        <v>-21396350</v>
      </c>
      <c r="D38" s="249"/>
      <c r="E38" s="249">
        <f t="shared" si="0"/>
        <v>-21396</v>
      </c>
    </row>
    <row r="39" spans="1:5" ht="15">
      <c r="A39" s="473"/>
      <c r="B39" s="473" t="s">
        <v>1179</v>
      </c>
      <c r="C39" s="249">
        <v>14453100</v>
      </c>
      <c r="D39" s="249"/>
      <c r="E39" s="249">
        <f t="shared" si="0"/>
        <v>14453</v>
      </c>
    </row>
    <row r="40" spans="1:5" ht="15">
      <c r="A40" s="875">
        <v>942</v>
      </c>
      <c r="B40" s="1009" t="s">
        <v>889</v>
      </c>
      <c r="C40" s="1013">
        <f>SUM(C33:C39)</f>
        <v>130952338</v>
      </c>
      <c r="D40" s="1014"/>
      <c r="E40" s="1015">
        <f t="shared" si="0"/>
        <v>130952</v>
      </c>
    </row>
    <row r="41" spans="1:5" ht="15.75">
      <c r="A41" s="875"/>
      <c r="B41" s="558" t="s">
        <v>891</v>
      </c>
      <c r="C41" s="1008">
        <v>47296000</v>
      </c>
      <c r="D41" s="875"/>
      <c r="E41" s="874"/>
    </row>
    <row r="42" spans="1:5" ht="15.75">
      <c r="A42" s="875"/>
      <c r="B42" s="558" t="s">
        <v>892</v>
      </c>
      <c r="C42" s="1008">
        <v>7668000</v>
      </c>
      <c r="D42" s="875"/>
      <c r="E42" s="874"/>
    </row>
    <row r="43" spans="1:6" ht="15.75">
      <c r="A43" s="473"/>
      <c r="B43" s="441" t="s">
        <v>893</v>
      </c>
      <c r="C43" s="155">
        <f>SUM(C44:C49)</f>
        <v>49368000</v>
      </c>
      <c r="D43" s="100"/>
      <c r="E43" s="1007">
        <f>ROUND(C43,-3)/1000</f>
        <v>49368</v>
      </c>
      <c r="F43" s="8"/>
    </row>
    <row r="44" spans="1:5" s="10" customFormat="1" ht="15">
      <c r="A44" s="1012"/>
      <c r="B44" s="441" t="s">
        <v>894</v>
      </c>
      <c r="C44" s="474">
        <v>7140000</v>
      </c>
      <c r="D44" s="100"/>
      <c r="E44" s="513"/>
    </row>
    <row r="45" spans="1:5" s="10" customFormat="1" ht="15">
      <c r="A45" s="1012"/>
      <c r="B45" s="441" t="s">
        <v>895</v>
      </c>
      <c r="C45" s="474">
        <v>32232000</v>
      </c>
      <c r="D45" s="100"/>
      <c r="E45" s="513"/>
    </row>
    <row r="46" spans="1:5" s="10" customFormat="1" ht="15">
      <c r="A46" s="1012"/>
      <c r="B46" s="441" t="s">
        <v>896</v>
      </c>
      <c r="C46" s="474">
        <v>1530000</v>
      </c>
      <c r="D46" s="100"/>
      <c r="E46" s="513"/>
    </row>
    <row r="47" spans="1:5" s="10" customFormat="1" ht="15">
      <c r="A47" s="1012"/>
      <c r="B47" s="441" t="s">
        <v>897</v>
      </c>
      <c r="C47" s="474">
        <v>918000</v>
      </c>
      <c r="D47" s="100"/>
      <c r="E47" s="513"/>
    </row>
    <row r="48" spans="1:5" s="10" customFormat="1" ht="15">
      <c r="A48" s="1012"/>
      <c r="B48" s="441" t="s">
        <v>898</v>
      </c>
      <c r="C48" s="474">
        <v>1122000</v>
      </c>
      <c r="D48" s="100"/>
      <c r="E48" s="513"/>
    </row>
    <row r="49" spans="1:5" s="10" customFormat="1" ht="15">
      <c r="A49" s="1012"/>
      <c r="B49" s="441" t="s">
        <v>899</v>
      </c>
      <c r="C49" s="474">
        <v>6426000</v>
      </c>
      <c r="D49" s="100"/>
      <c r="E49" s="513"/>
    </row>
    <row r="50" spans="1:6" ht="15.75">
      <c r="A50" s="473"/>
      <c r="B50" s="441" t="s">
        <v>900</v>
      </c>
      <c r="C50" s="155"/>
      <c r="D50" s="100"/>
      <c r="E50" s="1007"/>
      <c r="F50" s="8"/>
    </row>
    <row r="51" spans="1:5" ht="30">
      <c r="A51" s="875"/>
      <c r="B51" s="1010" t="s">
        <v>890</v>
      </c>
      <c r="C51" s="1015">
        <f>C41+C42+C43+C50</f>
        <v>104332000</v>
      </c>
      <c r="D51" s="1014"/>
      <c r="E51" s="1015">
        <f>ROUND(C51,-3)/1000</f>
        <v>104332</v>
      </c>
    </row>
    <row r="52" spans="1:5" ht="15.75">
      <c r="A52" s="99"/>
      <c r="B52" s="37" t="s">
        <v>1180</v>
      </c>
      <c r="C52" s="860">
        <v>93604000</v>
      </c>
      <c r="D52" s="100"/>
      <c r="E52" s="1007">
        <f>SUM(E53:E57)</f>
        <v>93604.4</v>
      </c>
    </row>
    <row r="53" spans="1:5" ht="15">
      <c r="A53" s="99"/>
      <c r="B53" s="558" t="s">
        <v>206</v>
      </c>
      <c r="D53" s="100"/>
      <c r="E53" s="100">
        <f>3am!B13*0.9</f>
        <v>5540.400000000001</v>
      </c>
    </row>
    <row r="54" spans="1:5" ht="15">
      <c r="A54" s="99"/>
      <c r="B54" s="558" t="s">
        <v>207</v>
      </c>
      <c r="C54" s="474"/>
      <c r="D54" s="100"/>
      <c r="E54" s="513">
        <f>3am!B15</f>
        <v>5800</v>
      </c>
    </row>
    <row r="55" spans="1:5" ht="15">
      <c r="A55" s="99"/>
      <c r="B55" s="558" t="s">
        <v>208</v>
      </c>
      <c r="C55" s="474"/>
      <c r="D55" s="100"/>
      <c r="E55" s="513">
        <f>3am!B16*0.9</f>
        <v>16200</v>
      </c>
    </row>
    <row r="56" spans="1:5" ht="15">
      <c r="A56" s="99"/>
      <c r="B56" s="558" t="s">
        <v>209</v>
      </c>
      <c r="C56" s="474"/>
      <c r="D56" s="100"/>
      <c r="E56" s="513">
        <f>3am!B14*0.8</f>
        <v>65664</v>
      </c>
    </row>
    <row r="57" spans="1:5" ht="15">
      <c r="A57" s="99"/>
      <c r="B57" s="558" t="s">
        <v>210</v>
      </c>
      <c r="C57" s="474"/>
      <c r="D57" s="100"/>
      <c r="E57" s="513">
        <f>3am!B24</f>
        <v>400</v>
      </c>
    </row>
    <row r="58" spans="1:5" ht="15">
      <c r="A58" s="99"/>
      <c r="B58" s="473" t="s">
        <v>211</v>
      </c>
      <c r="C58" s="474"/>
      <c r="D58" s="100"/>
      <c r="E58" s="513"/>
    </row>
    <row r="59" spans="1:5" ht="15.75">
      <c r="A59" s="99"/>
      <c r="B59" s="559" t="s">
        <v>1181</v>
      </c>
      <c r="C59" s="860">
        <v>40401190</v>
      </c>
      <c r="D59" s="100"/>
      <c r="E59" s="1007">
        <f>ROUND(C59,-3)/1000</f>
        <v>40401</v>
      </c>
    </row>
    <row r="60" spans="1:5" ht="15.75">
      <c r="A60" s="99"/>
      <c r="B60" s="559" t="s">
        <v>1182</v>
      </c>
      <c r="C60" s="860">
        <f>SUM(C61:C64)</f>
        <v>35375000</v>
      </c>
      <c r="D60" s="100"/>
      <c r="E60" s="1007">
        <f aca="true" t="shared" si="1" ref="E60:E66">ROUND(C60,-3)/1000</f>
        <v>35375</v>
      </c>
    </row>
    <row r="61" spans="1:5" ht="15">
      <c r="A61" s="99"/>
      <c r="B61" s="558" t="s">
        <v>902</v>
      </c>
      <c r="C61" s="474">
        <v>9688000</v>
      </c>
      <c r="D61" s="100"/>
      <c r="E61" s="513">
        <f t="shared" si="1"/>
        <v>9688</v>
      </c>
    </row>
    <row r="62" spans="1:5" ht="15">
      <c r="A62" s="99"/>
      <c r="B62" s="558" t="s">
        <v>903</v>
      </c>
      <c r="C62" s="474">
        <v>15950000</v>
      </c>
      <c r="D62" s="100"/>
      <c r="E62" s="513">
        <f t="shared" si="1"/>
        <v>15950</v>
      </c>
    </row>
    <row r="63" spans="1:5" ht="15">
      <c r="A63" s="99"/>
      <c r="B63" s="558" t="s">
        <v>904</v>
      </c>
      <c r="C63" s="474">
        <v>4796000</v>
      </c>
      <c r="D63" s="100"/>
      <c r="E63" s="513">
        <f t="shared" si="1"/>
        <v>4796</v>
      </c>
    </row>
    <row r="64" spans="1:5" ht="15">
      <c r="A64" s="99"/>
      <c r="B64" s="558" t="s">
        <v>205</v>
      </c>
      <c r="C64" s="474">
        <v>4941000</v>
      </c>
      <c r="D64" s="100"/>
      <c r="E64" s="513">
        <f t="shared" si="1"/>
        <v>4941</v>
      </c>
    </row>
    <row r="65" spans="1:5" ht="30.75">
      <c r="A65" s="99"/>
      <c r="B65" s="1011" t="s">
        <v>901</v>
      </c>
      <c r="C65" s="1017">
        <f>C52+C59+C60</f>
        <v>169380190</v>
      </c>
      <c r="D65" s="1016"/>
      <c r="E65" s="1020">
        <f t="shared" si="1"/>
        <v>169380</v>
      </c>
    </row>
    <row r="66" spans="1:5" ht="15.75">
      <c r="A66" s="99"/>
      <c r="B66" s="1011" t="s">
        <v>729</v>
      </c>
      <c r="C66" s="1017">
        <f>1140*5353</f>
        <v>6102420</v>
      </c>
      <c r="D66" s="1016"/>
      <c r="E66" s="1020">
        <f t="shared" si="1"/>
        <v>6102</v>
      </c>
    </row>
    <row r="67" spans="1:5" ht="15.75">
      <c r="A67" s="1050"/>
      <c r="B67" s="1051"/>
      <c r="C67" s="1052"/>
      <c r="D67" s="1053"/>
      <c r="E67" s="1054"/>
    </row>
    <row r="68" spans="1:5" ht="15.75">
      <c r="A68" s="1021" t="s">
        <v>183</v>
      </c>
      <c r="B68" s="1021"/>
      <c r="C68" s="1022">
        <f>C40+C51+C65</f>
        <v>404664528</v>
      </c>
      <c r="D68" s="1021"/>
      <c r="E68" s="71">
        <f>E40+E51+E65+E66</f>
        <v>410766</v>
      </c>
    </row>
    <row r="69" spans="1:5" ht="15.75">
      <c r="A69" s="1376"/>
      <c r="B69" s="1376"/>
      <c r="C69" s="1376"/>
      <c r="D69" s="1376"/>
      <c r="E69" s="77">
        <f>+E30+E68</f>
        <v>535266</v>
      </c>
    </row>
  </sheetData>
  <sheetProtection/>
  <mergeCells count="7">
    <mergeCell ref="A2:E2"/>
    <mergeCell ref="A4:E4"/>
    <mergeCell ref="A69:D69"/>
    <mergeCell ref="A7:E7"/>
    <mergeCell ref="A30:D30"/>
    <mergeCell ref="A32:E32"/>
    <mergeCell ref="A24:D24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8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9"/>
  <sheetViews>
    <sheetView view="pageBreakPreview" zoomScaleSheetLayoutView="100" zoomScalePageLayoutView="0" workbookViewId="0" topLeftCell="A49">
      <selection activeCell="J77" sqref="J77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30" customWidth="1"/>
    <col min="6" max="6" width="9.57421875" style="0" bestFit="1" customWidth="1"/>
  </cols>
  <sheetData>
    <row r="1" spans="1:4" ht="12.75">
      <c r="A1" s="179"/>
      <c r="B1" s="179"/>
      <c r="C1" s="179"/>
      <c r="D1" s="325" t="s">
        <v>374</v>
      </c>
    </row>
    <row r="2" spans="1:4" ht="30.75" customHeight="1">
      <c r="A2" s="179"/>
      <c r="B2" s="179"/>
      <c r="C2" s="179"/>
      <c r="D2" s="409" t="s">
        <v>1336</v>
      </c>
    </row>
    <row r="3" spans="1:5" ht="12.75">
      <c r="A3" s="48" t="s">
        <v>1127</v>
      </c>
      <c r="B3" s="48" t="s">
        <v>1128</v>
      </c>
      <c r="C3" s="48" t="s">
        <v>1129</v>
      </c>
      <c r="D3" s="244" t="s">
        <v>1026</v>
      </c>
      <c r="E3" s="329" t="s">
        <v>807</v>
      </c>
    </row>
    <row r="4" spans="1:5" ht="12.75">
      <c r="A4" s="6"/>
      <c r="B4" s="6"/>
      <c r="C4" s="6"/>
      <c r="D4" s="6"/>
      <c r="E4" s="47"/>
    </row>
    <row r="5" spans="1:5" ht="12.75">
      <c r="A5" s="6"/>
      <c r="B5" s="6"/>
      <c r="C5" s="6"/>
      <c r="D5" s="45" t="s">
        <v>307</v>
      </c>
      <c r="E5" s="171"/>
    </row>
    <row r="6" spans="1:6" ht="12.75">
      <c r="A6" s="3">
        <v>1263</v>
      </c>
      <c r="B6" s="3">
        <v>429900</v>
      </c>
      <c r="C6" s="3">
        <v>106</v>
      </c>
      <c r="D6" s="692" t="s">
        <v>472</v>
      </c>
      <c r="E6" s="171"/>
      <c r="F6" s="1464">
        <f>E6+E7</f>
        <v>0</v>
      </c>
    </row>
    <row r="7" spans="1:6" ht="12.75">
      <c r="A7" s="3">
        <v>1811221</v>
      </c>
      <c r="B7" s="3">
        <v>429900</v>
      </c>
      <c r="C7" s="3">
        <v>106</v>
      </c>
      <c r="D7" s="692" t="s">
        <v>1337</v>
      </c>
      <c r="E7" s="171"/>
      <c r="F7" s="1465"/>
    </row>
    <row r="8" spans="1:6" ht="12.75">
      <c r="A8" s="3"/>
      <c r="B8" s="3"/>
      <c r="C8" s="3"/>
      <c r="D8" s="692"/>
      <c r="E8" s="171"/>
      <c r="F8" s="1062"/>
    </row>
    <row r="9" spans="1:5" ht="11.25" customHeight="1">
      <c r="A9" s="3"/>
      <c r="B9" s="3"/>
      <c r="C9" s="3"/>
      <c r="D9" s="635" t="s">
        <v>1228</v>
      </c>
      <c r="E9" s="171"/>
    </row>
    <row r="10" spans="1:6" ht="12.75">
      <c r="A10" s="3"/>
      <c r="B10" s="3"/>
      <c r="C10" s="3"/>
      <c r="D10" s="635" t="s">
        <v>1165</v>
      </c>
      <c r="E10" s="171"/>
      <c r="F10" s="8">
        <f>E9+E10</f>
        <v>0</v>
      </c>
    </row>
    <row r="11" spans="1:5" ht="12.75">
      <c r="A11" s="3"/>
      <c r="B11" s="3"/>
      <c r="C11" s="3"/>
      <c r="D11" s="635"/>
      <c r="E11" s="171"/>
    </row>
    <row r="12" spans="1:5" ht="12.75">
      <c r="A12" s="3"/>
      <c r="B12" s="3"/>
      <c r="C12" s="3"/>
      <c r="D12" s="635"/>
      <c r="E12" s="171"/>
    </row>
    <row r="13" spans="1:5" ht="12.75">
      <c r="A13" s="3"/>
      <c r="B13" s="3"/>
      <c r="C13" s="3"/>
      <c r="D13" s="244"/>
      <c r="E13" s="171"/>
    </row>
    <row r="14" spans="1:5" ht="12.75">
      <c r="A14" s="3"/>
      <c r="B14" s="3"/>
      <c r="C14" s="3"/>
      <c r="D14" s="253"/>
      <c r="E14" s="47"/>
    </row>
    <row r="15" spans="1:5" ht="12.75">
      <c r="A15" s="3"/>
      <c r="B15" s="3"/>
      <c r="C15" s="3"/>
      <c r="D15" s="253"/>
      <c r="E15" s="171"/>
    </row>
    <row r="16" spans="1:5" ht="25.5">
      <c r="A16" s="694">
        <v>1263</v>
      </c>
      <c r="B16" s="694">
        <v>890506</v>
      </c>
      <c r="C16" s="694">
        <v>116</v>
      </c>
      <c r="D16" s="695" t="s">
        <v>1338</v>
      </c>
      <c r="E16" s="171"/>
    </row>
    <row r="17" spans="1:5" ht="27.75" customHeight="1">
      <c r="A17" s="694">
        <v>1811221</v>
      </c>
      <c r="B17" s="694">
        <v>890506</v>
      </c>
      <c r="C17" s="694">
        <v>116</v>
      </c>
      <c r="D17" s="695" t="s">
        <v>1339</v>
      </c>
      <c r="E17" s="171"/>
    </row>
    <row r="18" spans="1:5" ht="12.75">
      <c r="A18" s="6"/>
      <c r="B18" s="6"/>
      <c r="C18" s="6"/>
      <c r="D18" s="6"/>
      <c r="E18" s="171"/>
    </row>
    <row r="19" spans="1:5" ht="12.75">
      <c r="A19" s="694"/>
      <c r="B19" s="694"/>
      <c r="C19" s="694"/>
      <c r="D19" s="695"/>
      <c r="E19" s="171"/>
    </row>
    <row r="20" spans="1:5" ht="12.75">
      <c r="A20" s="694"/>
      <c r="B20" s="694"/>
      <c r="C20" s="694"/>
      <c r="D20" s="695"/>
      <c r="E20" s="171"/>
    </row>
    <row r="21" spans="1:5" ht="12.75">
      <c r="A21" s="6"/>
      <c r="B21" s="6"/>
      <c r="C21" s="6"/>
      <c r="D21" s="244" t="s">
        <v>308</v>
      </c>
      <c r="E21" s="171"/>
    </row>
    <row r="22" spans="1:5" ht="25.5">
      <c r="A22" s="694"/>
      <c r="B22" s="694"/>
      <c r="C22" s="694"/>
      <c r="D22" s="695" t="s">
        <v>413</v>
      </c>
      <c r="E22" s="171"/>
    </row>
    <row r="23" spans="1:5" ht="25.5">
      <c r="A23" s="694"/>
      <c r="B23" s="694"/>
      <c r="C23" s="694"/>
      <c r="D23" s="695" t="s">
        <v>414</v>
      </c>
      <c r="E23" s="171"/>
    </row>
    <row r="24" spans="1:5" ht="12.75">
      <c r="A24" s="6"/>
      <c r="B24" s="6"/>
      <c r="C24" s="6"/>
      <c r="D24" s="6"/>
      <c r="E24" s="171"/>
    </row>
    <row r="25" spans="1:5" ht="12.75">
      <c r="A25" s="694">
        <v>126311</v>
      </c>
      <c r="B25" s="694">
        <v>370000</v>
      </c>
      <c r="C25" s="694">
        <v>138</v>
      </c>
      <c r="D25" s="695" t="s">
        <v>1340</v>
      </c>
      <c r="E25" s="171">
        <v>4000</v>
      </c>
    </row>
    <row r="26" spans="1:5" ht="12.75">
      <c r="A26" s="694">
        <v>18112211</v>
      </c>
      <c r="B26" s="694">
        <v>370000</v>
      </c>
      <c r="C26" s="694">
        <v>138</v>
      </c>
      <c r="D26" s="695" t="s">
        <v>1340</v>
      </c>
      <c r="E26" s="171">
        <f>E25*0.27</f>
        <v>1080</v>
      </c>
    </row>
    <row r="27" spans="1:5" ht="12.75">
      <c r="A27" s="6"/>
      <c r="B27" s="6"/>
      <c r="C27" s="6"/>
      <c r="D27" s="6"/>
      <c r="E27" s="171"/>
    </row>
    <row r="28" spans="1:5" ht="24.75" customHeight="1">
      <c r="A28" s="6"/>
      <c r="B28" s="6"/>
      <c r="C28" s="6"/>
      <c r="D28" s="48" t="s">
        <v>1341</v>
      </c>
      <c r="E28" s="177">
        <f>SUM(E6:E27)</f>
        <v>5080</v>
      </c>
    </row>
    <row r="29" spans="1:5" ht="12.75">
      <c r="A29" s="6"/>
      <c r="B29" s="6"/>
      <c r="C29" s="6"/>
      <c r="D29" s="6"/>
      <c r="E29" s="171"/>
    </row>
    <row r="30" spans="1:5" ht="12.75">
      <c r="A30" s="6"/>
      <c r="B30" s="6"/>
      <c r="C30" s="6"/>
      <c r="D30" s="14" t="s">
        <v>1342</v>
      </c>
      <c r="E30" s="171"/>
    </row>
    <row r="31" spans="1:5" ht="12.75">
      <c r="A31" s="6"/>
      <c r="B31" s="6"/>
      <c r="C31" s="6"/>
      <c r="D31" s="6"/>
      <c r="E31" s="171"/>
    </row>
    <row r="32" spans="1:5" ht="12.75">
      <c r="A32" s="3">
        <v>1263</v>
      </c>
      <c r="B32" s="3">
        <v>429900</v>
      </c>
      <c r="C32" s="3">
        <v>106</v>
      </c>
      <c r="D32" s="692" t="s">
        <v>472</v>
      </c>
      <c r="E32" s="171">
        <v>80425</v>
      </c>
    </row>
    <row r="33" spans="1:6" ht="12.75">
      <c r="A33" s="3">
        <v>1811221</v>
      </c>
      <c r="B33" s="3">
        <v>429900</v>
      </c>
      <c r="C33" s="3">
        <v>106</v>
      </c>
      <c r="D33" s="692" t="s">
        <v>1337</v>
      </c>
      <c r="E33" s="171">
        <v>21715</v>
      </c>
      <c r="F33" s="8">
        <f>SUM(E32:E33)</f>
        <v>102140</v>
      </c>
    </row>
    <row r="34" spans="1:5" ht="12.75">
      <c r="A34" s="3"/>
      <c r="B34" s="3"/>
      <c r="C34" s="3"/>
      <c r="D34" s="6"/>
      <c r="E34" s="161"/>
    </row>
    <row r="35" spans="1:5" ht="12.75">
      <c r="A35" s="3"/>
      <c r="B35" s="3"/>
      <c r="C35" s="3"/>
      <c r="D35" s="635" t="s">
        <v>1228</v>
      </c>
      <c r="E35" s="171">
        <v>60813</v>
      </c>
    </row>
    <row r="36" spans="1:6" ht="12.75">
      <c r="A36" s="3"/>
      <c r="B36" s="3"/>
      <c r="C36" s="3"/>
      <c r="D36" s="635" t="s">
        <v>1165</v>
      </c>
      <c r="E36" s="171">
        <v>16420</v>
      </c>
      <c r="F36" s="8">
        <f>SUM(E35:E36)</f>
        <v>77233</v>
      </c>
    </row>
    <row r="37" spans="1:5" ht="12.75">
      <c r="A37" s="3"/>
      <c r="B37" s="3"/>
      <c r="C37" s="3"/>
      <c r="D37" s="695"/>
      <c r="E37" s="171"/>
    </row>
    <row r="38" spans="1:5" ht="12.75">
      <c r="A38" s="3"/>
      <c r="B38" s="3"/>
      <c r="C38" s="3"/>
      <c r="D38" s="635" t="s">
        <v>1230</v>
      </c>
      <c r="E38" s="161">
        <v>412687</v>
      </c>
    </row>
    <row r="39" spans="1:6" ht="12.75">
      <c r="A39" s="3"/>
      <c r="B39" s="3"/>
      <c r="C39" s="3"/>
      <c r="D39" s="635" t="s">
        <v>499</v>
      </c>
      <c r="E39" s="306">
        <v>111425</v>
      </c>
      <c r="F39" s="8">
        <f>SUM(E38:E39)</f>
        <v>524112</v>
      </c>
    </row>
    <row r="40" spans="1:5" ht="12.75">
      <c r="A40" s="3"/>
      <c r="B40" s="3"/>
      <c r="C40" s="3"/>
      <c r="D40" s="635"/>
      <c r="E40" s="306"/>
    </row>
    <row r="41" spans="1:5" ht="12.75">
      <c r="A41" s="3"/>
      <c r="B41" s="3"/>
      <c r="C41" s="3"/>
      <c r="D41" s="635" t="s">
        <v>493</v>
      </c>
      <c r="E41" s="306">
        <v>35316</v>
      </c>
    </row>
    <row r="42" spans="1:5" ht="12.75">
      <c r="A42" s="3"/>
      <c r="B42" s="3"/>
      <c r="C42" s="3"/>
      <c r="D42" s="635" t="s">
        <v>500</v>
      </c>
      <c r="E42" s="306">
        <v>9535</v>
      </c>
    </row>
    <row r="43" spans="1:5" ht="12.75">
      <c r="A43" s="3"/>
      <c r="B43" s="3"/>
      <c r="C43" s="3"/>
      <c r="D43" s="6"/>
      <c r="E43" s="306"/>
    </row>
    <row r="44" spans="1:5" ht="12.75">
      <c r="A44" s="3"/>
      <c r="B44" s="3"/>
      <c r="C44" s="3"/>
      <c r="D44" s="12" t="s">
        <v>1343</v>
      </c>
      <c r="E44" s="306"/>
    </row>
    <row r="45" spans="1:5" ht="12.75">
      <c r="A45" s="3"/>
      <c r="B45" s="3"/>
      <c r="C45" s="3"/>
      <c r="D45" s="14"/>
      <c r="E45" s="306"/>
    </row>
    <row r="46" spans="1:5" ht="12.75">
      <c r="A46" s="3"/>
      <c r="B46" s="3"/>
      <c r="C46" s="3"/>
      <c r="D46" s="635"/>
      <c r="E46" s="306"/>
    </row>
    <row r="47" spans="1:5" ht="12.75">
      <c r="A47" s="3"/>
      <c r="B47" s="3"/>
      <c r="C47" s="3"/>
      <c r="D47" s="12" t="s">
        <v>1344</v>
      </c>
      <c r="E47" s="160">
        <v>0</v>
      </c>
    </row>
    <row r="48" spans="1:5" ht="12.75">
      <c r="A48" s="3"/>
      <c r="B48" s="3"/>
      <c r="C48" s="3"/>
      <c r="D48" s="12"/>
      <c r="E48" s="306"/>
    </row>
    <row r="49" spans="1:5" ht="12.75">
      <c r="A49" s="3"/>
      <c r="B49" s="3"/>
      <c r="C49" s="3"/>
      <c r="D49" s="12" t="s">
        <v>678</v>
      </c>
      <c r="E49" s="160">
        <v>0</v>
      </c>
    </row>
    <row r="50" spans="1:5" ht="12.75">
      <c r="A50" s="3"/>
      <c r="B50" s="3"/>
      <c r="C50" s="3"/>
      <c r="D50" s="12"/>
      <c r="E50" s="306"/>
    </row>
    <row r="51" spans="1:5" ht="12.75">
      <c r="A51" s="3"/>
      <c r="B51" s="3"/>
      <c r="C51" s="3"/>
      <c r="D51" s="12" t="s">
        <v>679</v>
      </c>
      <c r="E51" s="306"/>
    </row>
    <row r="52" spans="1:5" ht="12.75">
      <c r="A52" s="3"/>
      <c r="B52" s="3"/>
      <c r="C52" s="3"/>
      <c r="D52" s="12"/>
      <c r="E52" s="306"/>
    </row>
    <row r="53" spans="1:5" ht="12.75">
      <c r="A53" s="6"/>
      <c r="B53" s="6"/>
      <c r="C53" s="6"/>
      <c r="D53" s="188" t="s">
        <v>309</v>
      </c>
      <c r="E53" s="47"/>
    </row>
    <row r="54" spans="1:5" ht="12.75">
      <c r="A54" s="3"/>
      <c r="B54" s="3"/>
      <c r="C54" s="3"/>
      <c r="D54" s="6"/>
      <c r="E54" s="47"/>
    </row>
    <row r="55" spans="1:5" ht="12.75">
      <c r="A55" s="3"/>
      <c r="B55" s="3"/>
      <c r="C55" s="3"/>
      <c r="D55" s="12" t="s">
        <v>680</v>
      </c>
      <c r="E55" s="182">
        <f>SUM(E32:E52)</f>
        <v>748336</v>
      </c>
    </row>
    <row r="56" spans="1:5" ht="12.75">
      <c r="A56" s="3"/>
      <c r="B56" s="3"/>
      <c r="C56" s="3"/>
      <c r="D56" s="6"/>
      <c r="E56" s="47"/>
    </row>
    <row r="57" spans="1:5" ht="25.5">
      <c r="A57" s="3"/>
      <c r="B57" s="3"/>
      <c r="C57" s="3"/>
      <c r="D57" s="188" t="s">
        <v>681</v>
      </c>
      <c r="E57" s="171"/>
    </row>
    <row r="58" spans="1:5" ht="12.75">
      <c r="A58" s="3"/>
      <c r="B58" s="3"/>
      <c r="C58" s="3"/>
      <c r="D58" s="693"/>
      <c r="E58" s="171"/>
    </row>
    <row r="59" spans="1:5" ht="25.5">
      <c r="A59" s="3">
        <v>38215</v>
      </c>
      <c r="B59" s="3">
        <v>841126</v>
      </c>
      <c r="C59" s="3">
        <v>116</v>
      </c>
      <c r="D59" s="692" t="s">
        <v>682</v>
      </c>
      <c r="E59" s="171">
        <v>0</v>
      </c>
    </row>
    <row r="60" spans="1:5" ht="25.5">
      <c r="A60" s="3">
        <v>3821511</v>
      </c>
      <c r="B60" s="3">
        <v>841126</v>
      </c>
      <c r="C60" s="3">
        <v>116</v>
      </c>
      <c r="D60" s="692" t="s">
        <v>1207</v>
      </c>
      <c r="E60" s="171">
        <v>1582</v>
      </c>
    </row>
    <row r="61" spans="1:5" ht="25.5">
      <c r="A61" s="3">
        <v>38211512</v>
      </c>
      <c r="B61" s="3">
        <v>841126</v>
      </c>
      <c r="C61" s="3">
        <v>116</v>
      </c>
      <c r="D61" s="692" t="s">
        <v>1356</v>
      </c>
      <c r="E61" s="171">
        <v>0</v>
      </c>
    </row>
    <row r="62" spans="1:5" ht="25.5">
      <c r="A62" s="3"/>
      <c r="B62" s="3"/>
      <c r="C62" s="3"/>
      <c r="D62" s="188" t="s">
        <v>683</v>
      </c>
      <c r="E62" s="171">
        <f>E59+E60+E61</f>
        <v>1582</v>
      </c>
    </row>
    <row r="63" spans="1:5" ht="12.75">
      <c r="A63" s="3"/>
      <c r="B63" s="3"/>
      <c r="C63" s="3"/>
      <c r="D63" s="693"/>
      <c r="E63" s="171"/>
    </row>
    <row r="64" spans="1:5" ht="12.75">
      <c r="A64" s="3"/>
      <c r="B64" s="3"/>
      <c r="C64" s="3"/>
      <c r="D64" s="188" t="s">
        <v>684</v>
      </c>
      <c r="E64" s="177">
        <v>0</v>
      </c>
    </row>
    <row r="65" spans="1:5" ht="12.75">
      <c r="A65" s="3"/>
      <c r="B65" s="3"/>
      <c r="C65" s="3"/>
      <c r="D65" s="693"/>
      <c r="E65" s="47"/>
    </row>
    <row r="66" spans="1:6" ht="12.75">
      <c r="A66" s="3"/>
      <c r="B66" s="3"/>
      <c r="C66" s="3"/>
      <c r="D66" s="693"/>
      <c r="E66" s="171"/>
      <c r="F66" t="s">
        <v>311</v>
      </c>
    </row>
    <row r="67" spans="1:6" ht="25.5">
      <c r="A67" s="3">
        <v>4312112</v>
      </c>
      <c r="B67" s="3">
        <v>841126</v>
      </c>
      <c r="C67" s="3">
        <v>116</v>
      </c>
      <c r="D67" s="692" t="s">
        <v>685</v>
      </c>
      <c r="E67" s="171">
        <f>2108</f>
        <v>2108</v>
      </c>
      <c r="F67" s="207">
        <f>33366*0.1135</f>
        <v>3787.041</v>
      </c>
    </row>
    <row r="68" spans="1:6" ht="25.5">
      <c r="A68" s="3">
        <v>43121121</v>
      </c>
      <c r="B68" s="3">
        <v>841126</v>
      </c>
      <c r="C68" s="3">
        <v>116</v>
      </c>
      <c r="D68" s="692" t="s">
        <v>686</v>
      </c>
      <c r="E68" s="171">
        <f>6456</f>
        <v>6456</v>
      </c>
      <c r="F68" s="207">
        <f>69940*0.1135</f>
        <v>7938.1900000000005</v>
      </c>
    </row>
    <row r="69" spans="1:6" ht="25.5">
      <c r="A69" s="3">
        <v>4312112</v>
      </c>
      <c r="B69" s="3">
        <v>841126</v>
      </c>
      <c r="C69" s="3">
        <v>116</v>
      </c>
      <c r="D69" s="692" t="s">
        <v>687</v>
      </c>
      <c r="E69" s="171">
        <f>1040</f>
        <v>1040</v>
      </c>
      <c r="F69" s="207">
        <f>11431*0.06</f>
        <v>685.86</v>
      </c>
    </row>
    <row r="70" spans="1:6" ht="25.5">
      <c r="A70" s="3">
        <v>4312117</v>
      </c>
      <c r="B70" s="3">
        <v>841126</v>
      </c>
      <c r="C70" s="3">
        <v>116</v>
      </c>
      <c r="D70" s="692" t="s">
        <v>688</v>
      </c>
      <c r="E70" s="171">
        <f>384</f>
        <v>384</v>
      </c>
      <c r="F70" s="207">
        <f>5933*0.052</f>
        <v>308.51599999999996</v>
      </c>
    </row>
    <row r="71" spans="1:6" ht="12.75">
      <c r="A71" s="3">
        <v>43121115</v>
      </c>
      <c r="B71" s="3">
        <v>841126</v>
      </c>
      <c r="C71" s="3">
        <v>116</v>
      </c>
      <c r="D71" s="693" t="s">
        <v>229</v>
      </c>
      <c r="E71" s="171">
        <f>807</f>
        <v>807</v>
      </c>
      <c r="F71" s="207">
        <f>1614*0.052</f>
        <v>83.928</v>
      </c>
    </row>
    <row r="72" spans="1:6" ht="25.5">
      <c r="A72" s="3">
        <v>4312119</v>
      </c>
      <c r="B72" s="3">
        <v>841126</v>
      </c>
      <c r="C72" s="3">
        <v>116</v>
      </c>
      <c r="D72" s="693" t="s">
        <v>230</v>
      </c>
      <c r="E72" s="171">
        <f>1496</f>
        <v>1496</v>
      </c>
      <c r="F72" s="207">
        <f>2862*0.044</f>
        <v>125.928</v>
      </c>
    </row>
    <row r="73" spans="1:6" ht="12.75">
      <c r="A73" s="3">
        <v>43131131</v>
      </c>
      <c r="B73" s="3">
        <v>841126</v>
      </c>
      <c r="C73" s="3">
        <v>116</v>
      </c>
      <c r="D73" s="693" t="s">
        <v>231</v>
      </c>
      <c r="E73" s="171">
        <f>3004</f>
        <v>3004</v>
      </c>
      <c r="F73" s="207">
        <f>14266*0.042</f>
        <v>599.172</v>
      </c>
    </row>
    <row r="74" spans="1:6" ht="38.25">
      <c r="A74" s="3">
        <v>43131132</v>
      </c>
      <c r="B74" s="3">
        <v>841126</v>
      </c>
      <c r="C74" s="3">
        <v>116</v>
      </c>
      <c r="D74" s="692" t="s">
        <v>321</v>
      </c>
      <c r="E74" s="171">
        <f>846</f>
        <v>846</v>
      </c>
      <c r="F74" s="207">
        <f>5064*0.052</f>
        <v>263.328</v>
      </c>
    </row>
    <row r="75" spans="1:6" ht="12.75">
      <c r="A75" s="3"/>
      <c r="B75" s="3">
        <v>841126</v>
      </c>
      <c r="C75" s="3">
        <v>116</v>
      </c>
      <c r="D75" s="692" t="s">
        <v>322</v>
      </c>
      <c r="E75" s="171">
        <f>336</f>
        <v>336</v>
      </c>
      <c r="F75" s="207">
        <f>2016*0.052</f>
        <v>104.832</v>
      </c>
    </row>
    <row r="76" spans="1:5" ht="25.5">
      <c r="A76" s="6"/>
      <c r="B76" s="3"/>
      <c r="C76" s="3"/>
      <c r="D76" s="188" t="s">
        <v>232</v>
      </c>
      <c r="E76" s="177">
        <f>SUM(E67:E75)</f>
        <v>16477</v>
      </c>
    </row>
    <row r="77" spans="1:5" ht="12.75">
      <c r="A77" s="6"/>
      <c r="B77" s="3"/>
      <c r="C77" s="3"/>
      <c r="D77" s="188"/>
      <c r="E77" s="177"/>
    </row>
    <row r="78" spans="1:5" ht="25.5">
      <c r="A78" s="3">
        <v>573111211</v>
      </c>
      <c r="B78" s="3">
        <v>841126</v>
      </c>
      <c r="C78" s="3">
        <v>116</v>
      </c>
      <c r="D78" s="692" t="s">
        <v>233</v>
      </c>
      <c r="E78" s="882">
        <f>31259*0.1135</f>
        <v>3547.8965000000003</v>
      </c>
    </row>
    <row r="79" spans="1:5" ht="25.5">
      <c r="A79" s="3">
        <v>57311214</v>
      </c>
      <c r="B79" s="3">
        <v>841126</v>
      </c>
      <c r="C79" s="3">
        <v>116</v>
      </c>
      <c r="D79" s="692" t="s">
        <v>234</v>
      </c>
      <c r="E79" s="882">
        <f>63484*0.1135</f>
        <v>7205.434</v>
      </c>
    </row>
    <row r="80" spans="1:5" ht="25.5">
      <c r="A80" s="3">
        <v>573111212</v>
      </c>
      <c r="B80" s="3">
        <v>841126</v>
      </c>
      <c r="C80" s="3">
        <v>116</v>
      </c>
      <c r="D80" s="692" t="s">
        <v>687</v>
      </c>
      <c r="E80" s="882">
        <f>10391*0.06</f>
        <v>623.4599999999999</v>
      </c>
    </row>
    <row r="81" spans="1:5" ht="25.5">
      <c r="A81" s="3">
        <v>573111216</v>
      </c>
      <c r="B81" s="3">
        <v>841126</v>
      </c>
      <c r="C81" s="3">
        <v>116</v>
      </c>
      <c r="D81" s="692" t="s">
        <v>235</v>
      </c>
      <c r="E81" s="882">
        <f>5549*0.052</f>
        <v>288.548</v>
      </c>
    </row>
    <row r="82" spans="1:5" ht="25.5">
      <c r="A82" s="3">
        <v>573111215</v>
      </c>
      <c r="B82" s="3">
        <v>841126</v>
      </c>
      <c r="C82" s="3">
        <v>116</v>
      </c>
      <c r="D82" s="692" t="s">
        <v>236</v>
      </c>
      <c r="E82" s="882">
        <f>807*0.052</f>
        <v>41.964</v>
      </c>
    </row>
    <row r="83" spans="1:5" ht="25.5">
      <c r="A83" s="3">
        <v>573111218</v>
      </c>
      <c r="B83" s="3">
        <v>841126</v>
      </c>
      <c r="C83" s="3">
        <v>116</v>
      </c>
      <c r="D83" s="692" t="s">
        <v>237</v>
      </c>
      <c r="E83" s="882">
        <f>1366*0.044</f>
        <v>60.104</v>
      </c>
    </row>
    <row r="84" spans="1:6" ht="12.75">
      <c r="A84" s="3">
        <v>57311114</v>
      </c>
      <c r="B84" s="3">
        <v>841126</v>
      </c>
      <c r="C84" s="3">
        <v>116</v>
      </c>
      <c r="D84" s="692" t="s">
        <v>238</v>
      </c>
      <c r="E84" s="882">
        <f>11262*0.042</f>
        <v>473.004</v>
      </c>
      <c r="F84" s="330">
        <v>483</v>
      </c>
    </row>
    <row r="85" spans="1:6" ht="38.25">
      <c r="A85" s="3">
        <v>57311113</v>
      </c>
      <c r="B85" s="3">
        <v>841126</v>
      </c>
      <c r="C85" s="3">
        <v>116</v>
      </c>
      <c r="D85" s="692" t="s">
        <v>321</v>
      </c>
      <c r="E85" s="882">
        <f>4218*0.052</f>
        <v>219.33599999999998</v>
      </c>
      <c r="F85" s="330">
        <v>307</v>
      </c>
    </row>
    <row r="86" spans="1:6" ht="12.75">
      <c r="A86" s="3"/>
      <c r="B86" s="3">
        <v>841126</v>
      </c>
      <c r="C86" s="3">
        <v>116</v>
      </c>
      <c r="D86" s="692" t="s">
        <v>322</v>
      </c>
      <c r="E86" s="882">
        <f>1680*0.052</f>
        <v>87.36</v>
      </c>
      <c r="F86" s="330"/>
    </row>
    <row r="87" spans="1:5" ht="25.5">
      <c r="A87" s="6"/>
      <c r="B87" s="6"/>
      <c r="C87" s="6"/>
      <c r="D87" s="188" t="s">
        <v>1163</v>
      </c>
      <c r="E87" s="177">
        <f>SUM(E78:E86)</f>
        <v>12547.1065</v>
      </c>
    </row>
    <row r="88" spans="1:5" ht="12.75">
      <c r="A88" s="3"/>
      <c r="B88" s="3"/>
      <c r="C88" s="3"/>
      <c r="D88" s="188"/>
      <c r="E88" s="47"/>
    </row>
    <row r="89" spans="1:5" ht="12.75">
      <c r="A89" s="3"/>
      <c r="B89" s="3"/>
      <c r="C89" s="3"/>
      <c r="D89" s="696" t="s">
        <v>239</v>
      </c>
      <c r="E89" s="47"/>
    </row>
    <row r="90" spans="1:5" ht="12.75">
      <c r="A90" s="3"/>
      <c r="B90" s="3"/>
      <c r="C90" s="3"/>
      <c r="D90" s="6"/>
      <c r="E90" s="171"/>
    </row>
    <row r="91" spans="1:6" ht="25.5">
      <c r="A91" s="3">
        <v>5521212</v>
      </c>
      <c r="B91" s="3">
        <v>841126</v>
      </c>
      <c r="C91" s="3">
        <v>116</v>
      </c>
      <c r="D91" s="692" t="s">
        <v>240</v>
      </c>
      <c r="E91" s="330">
        <f>F91/1.27</f>
        <v>4172.541732283465</v>
      </c>
      <c r="F91" s="171">
        <f>1103985*0.4*12/1000</f>
        <v>5299.128</v>
      </c>
    </row>
    <row r="92" spans="1:5" ht="25.5">
      <c r="A92" s="3">
        <v>561212</v>
      </c>
      <c r="B92" s="3">
        <v>841126</v>
      </c>
      <c r="C92" s="3">
        <v>116</v>
      </c>
      <c r="D92" s="692" t="s">
        <v>241</v>
      </c>
      <c r="E92" s="171">
        <f>E91*0.27</f>
        <v>1126.5862677165355</v>
      </c>
    </row>
    <row r="93" spans="1:5" ht="12.75">
      <c r="A93" s="3"/>
      <c r="B93" s="3"/>
      <c r="C93" s="3"/>
      <c r="D93" s="696" t="s">
        <v>242</v>
      </c>
      <c r="E93" s="177">
        <f>E91+E92</f>
        <v>5299.128000000001</v>
      </c>
    </row>
    <row r="94" spans="1:5" ht="12.75">
      <c r="A94" s="3"/>
      <c r="B94" s="3"/>
      <c r="C94" s="3"/>
      <c r="D94" s="693"/>
      <c r="E94" s="171"/>
    </row>
    <row r="95" spans="1:5" ht="12.75">
      <c r="A95" s="3"/>
      <c r="B95" s="3"/>
      <c r="C95" s="3"/>
      <c r="D95" s="188" t="s">
        <v>316</v>
      </c>
      <c r="E95" s="171"/>
    </row>
    <row r="96" spans="1:5" ht="12.75">
      <c r="A96" s="3"/>
      <c r="B96" s="3"/>
      <c r="C96" s="3"/>
      <c r="D96" s="693"/>
      <c r="E96" s="171"/>
    </row>
    <row r="97" spans="1:6" ht="12.75">
      <c r="A97" s="3">
        <v>5521221</v>
      </c>
      <c r="B97" s="3">
        <v>931102</v>
      </c>
      <c r="C97" s="3">
        <v>172</v>
      </c>
      <c r="D97" s="692" t="s">
        <v>243</v>
      </c>
      <c r="E97" s="171">
        <v>4330</v>
      </c>
      <c r="F97" s="9">
        <v>0.4</v>
      </c>
    </row>
    <row r="98" spans="1:5" ht="12.75">
      <c r="A98" s="3">
        <v>561211</v>
      </c>
      <c r="B98" s="3">
        <v>931102</v>
      </c>
      <c r="C98" s="3">
        <v>172</v>
      </c>
      <c r="D98" s="692" t="s">
        <v>244</v>
      </c>
      <c r="E98" s="171">
        <f>E97*0.27+1</f>
        <v>1170.1000000000001</v>
      </c>
    </row>
    <row r="99" spans="1:5" ht="12.75">
      <c r="A99" s="3"/>
      <c r="B99" s="3"/>
      <c r="C99" s="3"/>
      <c r="D99" s="692"/>
      <c r="E99" s="171"/>
    </row>
    <row r="100" spans="1:5" ht="25.5">
      <c r="A100" s="3"/>
      <c r="B100" s="3"/>
      <c r="C100" s="3"/>
      <c r="D100" s="188" t="s">
        <v>245</v>
      </c>
      <c r="E100" s="177">
        <f>E97+E98</f>
        <v>5500.1</v>
      </c>
    </row>
    <row r="101" spans="1:5" ht="12.75">
      <c r="A101" s="3"/>
      <c r="B101" s="3"/>
      <c r="C101" s="3"/>
      <c r="D101" s="6"/>
      <c r="E101" s="171"/>
    </row>
    <row r="102" spans="1:5" ht="25.5">
      <c r="A102" s="3"/>
      <c r="B102" s="3"/>
      <c r="C102" s="3"/>
      <c r="D102" s="696" t="s">
        <v>356</v>
      </c>
      <c r="E102" s="47">
        <f>E104</f>
        <v>4050.0000000000005</v>
      </c>
    </row>
    <row r="103" spans="1:5" ht="12.75">
      <c r="A103" s="3"/>
      <c r="B103" s="3"/>
      <c r="C103" s="3"/>
      <c r="D103" s="6"/>
      <c r="E103" s="47"/>
    </row>
    <row r="104" spans="1:5" ht="12.75">
      <c r="A104" s="3">
        <v>561131</v>
      </c>
      <c r="B104" s="3">
        <v>370000</v>
      </c>
      <c r="C104" s="3">
        <v>138</v>
      </c>
      <c r="D104" s="14" t="s">
        <v>61</v>
      </c>
      <c r="E104" s="47">
        <f>'Fejlesztési bevételek'!E19</f>
        <v>4050.0000000000005</v>
      </c>
    </row>
    <row r="105" spans="1:5" ht="12.75">
      <c r="A105" s="6"/>
      <c r="B105" s="6"/>
      <c r="C105" s="6"/>
      <c r="D105" s="6"/>
      <c r="E105" s="47"/>
    </row>
    <row r="106" spans="1:5" ht="12.75">
      <c r="A106" s="6"/>
      <c r="B106" s="6"/>
      <c r="C106" s="6"/>
      <c r="D106" s="12" t="s">
        <v>318</v>
      </c>
      <c r="E106" s="47">
        <f>E108</f>
        <v>0</v>
      </c>
    </row>
    <row r="107" spans="1:5" ht="12.75">
      <c r="A107" s="6"/>
      <c r="B107" s="6"/>
      <c r="C107" s="6"/>
      <c r="D107" s="6"/>
      <c r="E107" s="47"/>
    </row>
    <row r="108" spans="1:5" ht="12.75">
      <c r="A108" s="3">
        <v>59212</v>
      </c>
      <c r="B108" s="3">
        <v>841126</v>
      </c>
      <c r="C108" s="3">
        <v>116</v>
      </c>
      <c r="D108" s="14" t="s">
        <v>62</v>
      </c>
      <c r="E108" s="47"/>
    </row>
    <row r="109" spans="1:5" ht="47.25" customHeight="1">
      <c r="A109" s="6"/>
      <c r="B109" s="6"/>
      <c r="C109" s="6"/>
      <c r="D109" s="697" t="s">
        <v>63</v>
      </c>
      <c r="E109" s="698">
        <f>E28+E55+E62+E76+E87+E93+E100+E102+E106</f>
        <v>798871.3345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8" max="4" man="1"/>
    <brk id="55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11.00390625" style="179" bestFit="1" customWidth="1"/>
    <col min="2" max="2" width="11.7109375" style="179" bestFit="1" customWidth="1"/>
    <col min="3" max="3" width="6.7109375" style="179" customWidth="1"/>
    <col min="4" max="4" width="45.28125" style="410" customWidth="1"/>
    <col min="5" max="5" width="13.8515625" style="179" bestFit="1" customWidth="1"/>
  </cols>
  <sheetData>
    <row r="1" ht="12.75">
      <c r="D1" s="325" t="s">
        <v>130</v>
      </c>
    </row>
    <row r="2" ht="27.75" customHeight="1">
      <c r="D2" s="409" t="s">
        <v>1335</v>
      </c>
    </row>
    <row r="3" spans="1:5" s="406" customFormat="1" ht="25.5" customHeight="1">
      <c r="A3" s="48" t="s">
        <v>1127</v>
      </c>
      <c r="B3" s="48" t="s">
        <v>1128</v>
      </c>
      <c r="C3" s="48" t="s">
        <v>1129</v>
      </c>
      <c r="D3" s="244" t="s">
        <v>1026</v>
      </c>
      <c r="E3" s="48" t="s">
        <v>807</v>
      </c>
    </row>
    <row r="4" spans="1:5" s="10" customFormat="1" ht="12.75">
      <c r="A4" s="53"/>
      <c r="B4" s="53"/>
      <c r="C4" s="53"/>
      <c r="D4" s="688" t="s">
        <v>1135</v>
      </c>
      <c r="E4" s="182"/>
    </row>
    <row r="5" spans="1:5" s="10" customFormat="1" ht="12.75">
      <c r="A5" s="53"/>
      <c r="B5" s="53"/>
      <c r="C5" s="53"/>
      <c r="D5" s="688"/>
      <c r="E5" s="182"/>
    </row>
    <row r="6" spans="1:5" s="10" customFormat="1" ht="25.5">
      <c r="A6" s="53"/>
      <c r="B6" s="53"/>
      <c r="C6" s="53"/>
      <c r="D6" s="688" t="s">
        <v>1130</v>
      </c>
      <c r="E6" s="182"/>
    </row>
    <row r="7" spans="1:5" ht="12.75">
      <c r="A7" s="2">
        <v>9311311</v>
      </c>
      <c r="B7" s="3">
        <v>841126</v>
      </c>
      <c r="C7" s="3">
        <v>116</v>
      </c>
      <c r="D7" s="635" t="s">
        <v>1131</v>
      </c>
      <c r="E7" s="633">
        <v>57000</v>
      </c>
    </row>
    <row r="8" spans="1:5" ht="12.75">
      <c r="A8" s="2"/>
      <c r="B8" s="3"/>
      <c r="C8" s="3"/>
      <c r="D8" s="635" t="s">
        <v>1347</v>
      </c>
      <c r="E8" s="633"/>
    </row>
    <row r="9" spans="1:5" ht="12.75">
      <c r="A9" s="2">
        <v>9311314</v>
      </c>
      <c r="B9" s="3">
        <v>841126</v>
      </c>
      <c r="C9" s="396">
        <v>116</v>
      </c>
      <c r="D9" s="635" t="s">
        <v>1132</v>
      </c>
      <c r="E9" s="47">
        <v>9000</v>
      </c>
    </row>
    <row r="10" spans="1:5" ht="12.75">
      <c r="A10" s="2">
        <v>9311312</v>
      </c>
      <c r="B10" s="3">
        <v>841126</v>
      </c>
      <c r="C10" s="396">
        <v>116</v>
      </c>
      <c r="D10" s="635" t="s">
        <v>1133</v>
      </c>
      <c r="E10" s="171">
        <v>26000</v>
      </c>
    </row>
    <row r="11" spans="1:5" ht="12.75">
      <c r="A11" s="2">
        <v>931131</v>
      </c>
      <c r="B11" s="3">
        <v>841126</v>
      </c>
      <c r="C11" s="396">
        <v>116</v>
      </c>
      <c r="D11" s="635" t="s">
        <v>1134</v>
      </c>
      <c r="E11" s="47">
        <v>7000</v>
      </c>
    </row>
    <row r="12" spans="1:5" ht="12.75">
      <c r="A12" s="2"/>
      <c r="B12" s="3"/>
      <c r="C12" s="3"/>
      <c r="D12" s="688" t="s">
        <v>1136</v>
      </c>
      <c r="E12" s="182">
        <f>SUM(E7:E11)</f>
        <v>99000</v>
      </c>
    </row>
    <row r="13" spans="1:5" ht="12.75">
      <c r="A13" s="2"/>
      <c r="B13" s="3"/>
      <c r="C13" s="3"/>
      <c r="D13" s="689"/>
      <c r="E13" s="47"/>
    </row>
    <row r="14" spans="1:5" s="10" customFormat="1" ht="25.5">
      <c r="A14" s="53"/>
      <c r="B14" s="48"/>
      <c r="C14" s="48"/>
      <c r="D14" s="688" t="s">
        <v>444</v>
      </c>
      <c r="E14" s="177"/>
    </row>
    <row r="15" spans="1:5" ht="12.75">
      <c r="A15" s="2">
        <v>19431</v>
      </c>
      <c r="B15" s="3">
        <v>841126</v>
      </c>
      <c r="C15" s="3">
        <v>116</v>
      </c>
      <c r="D15" s="635" t="s">
        <v>1144</v>
      </c>
      <c r="E15" s="171">
        <v>2704</v>
      </c>
    </row>
    <row r="16" spans="1:5" ht="12.75">
      <c r="A16" s="2">
        <v>9321191</v>
      </c>
      <c r="B16" s="3">
        <v>841126</v>
      </c>
      <c r="C16" s="3">
        <v>116</v>
      </c>
      <c r="D16" s="635" t="s">
        <v>1145</v>
      </c>
      <c r="E16" s="171">
        <v>100</v>
      </c>
    </row>
    <row r="17" spans="1:5" ht="12.75">
      <c r="A17" s="2">
        <v>932192</v>
      </c>
      <c r="B17" s="3">
        <v>841126</v>
      </c>
      <c r="C17" s="3">
        <v>116</v>
      </c>
      <c r="D17" s="635" t="s">
        <v>1146</v>
      </c>
      <c r="E17" s="171">
        <v>2000</v>
      </c>
    </row>
    <row r="18" spans="1:5" ht="12.75">
      <c r="A18" s="2">
        <v>9351122</v>
      </c>
      <c r="B18" s="3">
        <v>370000</v>
      </c>
      <c r="C18" s="3">
        <v>138</v>
      </c>
      <c r="D18" s="635" t="s">
        <v>1147</v>
      </c>
      <c r="E18" s="171">
        <v>15000</v>
      </c>
    </row>
    <row r="19" spans="1:5" ht="12.75">
      <c r="A19" s="2">
        <v>919141</v>
      </c>
      <c r="B19" s="3">
        <v>370000</v>
      </c>
      <c r="C19" s="3">
        <v>138</v>
      </c>
      <c r="D19" s="635" t="s">
        <v>1148</v>
      </c>
      <c r="E19" s="171">
        <f>E18*0.27</f>
        <v>4050.0000000000005</v>
      </c>
    </row>
    <row r="20" spans="1:5" ht="12.75">
      <c r="A20" s="2">
        <v>922141</v>
      </c>
      <c r="B20" s="3">
        <v>841133</v>
      </c>
      <c r="C20" s="3">
        <v>116</v>
      </c>
      <c r="D20" s="635" t="s">
        <v>1096</v>
      </c>
      <c r="E20" s="171">
        <v>19700</v>
      </c>
    </row>
    <row r="21" spans="1:5" ht="25.5">
      <c r="A21" s="2"/>
      <c r="B21" s="2"/>
      <c r="C21" s="2"/>
      <c r="D21" s="688" t="s">
        <v>1149</v>
      </c>
      <c r="E21" s="182">
        <f>SUM(E15:E20)</f>
        <v>43554</v>
      </c>
    </row>
    <row r="22" spans="1:5" ht="12.75">
      <c r="A22" s="2"/>
      <c r="B22" s="2"/>
      <c r="C22" s="2"/>
      <c r="D22" s="689"/>
      <c r="E22" s="47"/>
    </row>
    <row r="23" spans="1:5" s="10" customFormat="1" ht="25.5">
      <c r="A23" s="53"/>
      <c r="B23" s="53"/>
      <c r="C23" s="53"/>
      <c r="D23" s="688" t="s">
        <v>303</v>
      </c>
      <c r="E23" s="182"/>
    </row>
    <row r="24" spans="1:5" ht="12.75">
      <c r="A24" s="2"/>
      <c r="B24" s="2"/>
      <c r="C24" s="2"/>
      <c r="D24" s="689"/>
      <c r="E24" s="47"/>
    </row>
    <row r="25" spans="1:5" ht="12.75">
      <c r="A25" s="2"/>
      <c r="B25" s="3">
        <v>841126</v>
      </c>
      <c r="C25" s="3">
        <v>116</v>
      </c>
      <c r="D25" s="635" t="s">
        <v>1228</v>
      </c>
      <c r="E25" s="180">
        <v>75524</v>
      </c>
    </row>
    <row r="26" spans="1:5" ht="12.75">
      <c r="A26" s="2"/>
      <c r="B26" s="3"/>
      <c r="C26" s="3"/>
      <c r="D26" s="635" t="s">
        <v>1229</v>
      </c>
      <c r="E26" s="180">
        <v>2995</v>
      </c>
    </row>
    <row r="27" spans="1:5" ht="12.75">
      <c r="A27" s="2"/>
      <c r="B27" s="3"/>
      <c r="C27" s="3"/>
      <c r="D27" s="635"/>
      <c r="E27" s="47"/>
    </row>
    <row r="28" spans="1:5" ht="12.75">
      <c r="A28" s="2"/>
      <c r="B28" s="3"/>
      <c r="C28" s="3"/>
      <c r="D28" s="635" t="s">
        <v>1230</v>
      </c>
      <c r="E28" s="180">
        <v>491325</v>
      </c>
    </row>
    <row r="29" spans="1:5" ht="25.5">
      <c r="A29" s="2"/>
      <c r="B29" s="3"/>
      <c r="C29" s="3"/>
      <c r="D29" s="635" t="s">
        <v>492</v>
      </c>
      <c r="E29" s="180">
        <v>10984</v>
      </c>
    </row>
    <row r="30" spans="1:5" ht="25.5">
      <c r="A30" s="328">
        <v>46511213</v>
      </c>
      <c r="B30" s="3">
        <v>841126</v>
      </c>
      <c r="C30" s="3">
        <v>116</v>
      </c>
      <c r="D30" s="635" t="s">
        <v>645</v>
      </c>
      <c r="E30" s="171"/>
    </row>
    <row r="31" spans="1:5" ht="12.75">
      <c r="A31" s="2">
        <v>465112113</v>
      </c>
      <c r="B31" s="3">
        <v>841126</v>
      </c>
      <c r="C31" s="3">
        <v>110</v>
      </c>
      <c r="D31" s="635" t="s">
        <v>646</v>
      </c>
      <c r="E31" s="180">
        <v>71229</v>
      </c>
    </row>
    <row r="32" spans="1:5" ht="12.75">
      <c r="A32" s="2">
        <v>465112114</v>
      </c>
      <c r="B32" s="3">
        <v>841126</v>
      </c>
      <c r="C32" s="3">
        <v>110</v>
      </c>
      <c r="D32" s="635" t="s">
        <v>497</v>
      </c>
      <c r="E32" s="180">
        <v>18334</v>
      </c>
    </row>
    <row r="33" spans="1:5" ht="12.75">
      <c r="A33" s="2"/>
      <c r="B33" s="3"/>
      <c r="C33" s="3"/>
      <c r="D33" s="635" t="s">
        <v>498</v>
      </c>
      <c r="E33" s="180">
        <v>1797</v>
      </c>
    </row>
    <row r="34" spans="1:5" ht="12.75">
      <c r="A34" s="2"/>
      <c r="B34" s="3"/>
      <c r="C34" s="3"/>
      <c r="D34" s="635" t="s">
        <v>493</v>
      </c>
      <c r="E34" s="180">
        <v>22514</v>
      </c>
    </row>
    <row r="35" spans="1:5" ht="12.75">
      <c r="A35" s="2"/>
      <c r="B35" s="3"/>
      <c r="C35" s="3"/>
      <c r="D35" s="635" t="s">
        <v>496</v>
      </c>
      <c r="E35" s="180">
        <v>5297</v>
      </c>
    </row>
    <row r="36" spans="1:5" ht="12.75">
      <c r="A36" s="2"/>
      <c r="B36" s="3"/>
      <c r="C36" s="3"/>
      <c r="D36" s="635"/>
      <c r="E36" s="180"/>
    </row>
    <row r="37" spans="1:5" ht="12.75">
      <c r="A37" s="2">
        <v>4651121131</v>
      </c>
      <c r="B37" s="3">
        <v>841126</v>
      </c>
      <c r="C37" s="3">
        <v>116</v>
      </c>
      <c r="D37" s="635" t="s">
        <v>647</v>
      </c>
      <c r="E37" s="171"/>
    </row>
    <row r="38" spans="1:5" ht="12.75">
      <c r="A38" s="2"/>
      <c r="B38" s="3">
        <v>841126</v>
      </c>
      <c r="C38" s="3">
        <v>116</v>
      </c>
      <c r="D38" s="635" t="s">
        <v>411</v>
      </c>
      <c r="E38" s="171"/>
    </row>
    <row r="39" spans="1:5" ht="12.75">
      <c r="A39" s="2"/>
      <c r="B39" s="3"/>
      <c r="C39" s="3"/>
      <c r="D39" s="635"/>
      <c r="E39" s="171"/>
    </row>
    <row r="40" spans="1:5" ht="12.75">
      <c r="A40" s="2"/>
      <c r="B40" s="3"/>
      <c r="C40" s="3"/>
      <c r="D40" s="635" t="s">
        <v>462</v>
      </c>
      <c r="E40" s="171"/>
    </row>
    <row r="41" spans="1:5" ht="12.75">
      <c r="A41" s="2"/>
      <c r="B41" s="3"/>
      <c r="C41" s="3"/>
      <c r="D41" s="635"/>
      <c r="E41" s="171"/>
    </row>
    <row r="42" spans="1:5" ht="12.75">
      <c r="A42" s="2"/>
      <c r="B42" s="3"/>
      <c r="C42" s="3"/>
      <c r="D42" s="14" t="s">
        <v>59</v>
      </c>
      <c r="E42" s="171"/>
    </row>
    <row r="43" spans="1:5" ht="12.75">
      <c r="A43" s="2"/>
      <c r="B43" s="3"/>
      <c r="C43" s="3"/>
      <c r="D43" s="635" t="s">
        <v>58</v>
      </c>
      <c r="E43" s="171"/>
    </row>
    <row r="44" spans="1:5" ht="12.75">
      <c r="A44" s="2"/>
      <c r="B44" s="3"/>
      <c r="C44" s="3"/>
      <c r="D44" s="635"/>
      <c r="E44" s="171"/>
    </row>
    <row r="45" spans="1:5" ht="25.5">
      <c r="A45" s="2">
        <v>4651121133</v>
      </c>
      <c r="B45" s="3">
        <v>841126</v>
      </c>
      <c r="C45" s="3">
        <v>116</v>
      </c>
      <c r="D45" s="635" t="s">
        <v>648</v>
      </c>
      <c r="E45" s="47"/>
    </row>
    <row r="46" spans="1:5" ht="25.5">
      <c r="A46" s="2"/>
      <c r="B46" s="3"/>
      <c r="C46" s="3"/>
      <c r="D46" s="688" t="s">
        <v>649</v>
      </c>
      <c r="E46" s="182">
        <f>SUM(E25:E45)</f>
        <v>699999</v>
      </c>
    </row>
    <row r="47" spans="1:5" ht="12.75">
      <c r="A47" s="2"/>
      <c r="B47" s="3"/>
      <c r="C47" s="3"/>
      <c r="D47" s="689"/>
      <c r="E47" s="47"/>
    </row>
    <row r="48" spans="1:5" ht="25.5">
      <c r="A48" s="2"/>
      <c r="B48" s="3"/>
      <c r="C48" s="3"/>
      <c r="D48" s="688" t="s">
        <v>650</v>
      </c>
      <c r="E48" s="47"/>
    </row>
    <row r="49" spans="1:5" ht="12.75">
      <c r="A49" s="3">
        <v>472131</v>
      </c>
      <c r="B49" s="3">
        <v>841126</v>
      </c>
      <c r="C49" s="3">
        <v>116</v>
      </c>
      <c r="D49" s="400" t="s">
        <v>1161</v>
      </c>
      <c r="E49" s="306"/>
    </row>
    <row r="50" spans="1:5" ht="12.75">
      <c r="A50" s="3"/>
      <c r="B50" s="3"/>
      <c r="C50" s="3"/>
      <c r="D50" s="14" t="s">
        <v>60</v>
      </c>
      <c r="E50" s="306"/>
    </row>
    <row r="51" spans="1:5" ht="38.25">
      <c r="A51" s="3">
        <v>472132</v>
      </c>
      <c r="B51" s="3">
        <v>841126</v>
      </c>
      <c r="C51" s="3">
        <v>116</v>
      </c>
      <c r="D51" s="400" t="s">
        <v>1293</v>
      </c>
      <c r="E51" s="161"/>
    </row>
    <row r="52" spans="1:5" ht="25.5">
      <c r="A52" s="3"/>
      <c r="B52" s="3"/>
      <c r="C52" s="3"/>
      <c r="D52" s="688" t="s">
        <v>1294</v>
      </c>
      <c r="E52" s="160">
        <f>SUM(E49:E51)</f>
        <v>0</v>
      </c>
    </row>
    <row r="53" spans="1:5" ht="12.75">
      <c r="A53" s="3"/>
      <c r="B53" s="3"/>
      <c r="C53" s="3"/>
      <c r="D53" s="253"/>
      <c r="E53" s="172"/>
    </row>
    <row r="54" spans="1:5" ht="12.75">
      <c r="A54" s="3"/>
      <c r="B54" s="3"/>
      <c r="C54" s="3"/>
      <c r="D54" s="690" t="s">
        <v>1297</v>
      </c>
      <c r="E54" s="160">
        <v>0</v>
      </c>
    </row>
    <row r="55" spans="1:5" ht="12.75">
      <c r="A55" s="3"/>
      <c r="B55" s="3"/>
      <c r="C55" s="3"/>
      <c r="D55" s="691"/>
      <c r="E55" s="172"/>
    </row>
    <row r="56" spans="1:5" ht="25.5">
      <c r="A56" s="3"/>
      <c r="B56" s="3"/>
      <c r="C56" s="3"/>
      <c r="D56" s="690" t="s">
        <v>1332</v>
      </c>
      <c r="E56" s="160">
        <v>9535</v>
      </c>
    </row>
    <row r="57" spans="1:5" ht="12.75">
      <c r="A57" s="3"/>
      <c r="B57" s="3"/>
      <c r="C57" s="3"/>
      <c r="D57" s="691"/>
      <c r="E57" s="172"/>
    </row>
    <row r="58" spans="1:5" ht="12.75">
      <c r="A58" s="3"/>
      <c r="B58" s="5"/>
      <c r="C58" s="5"/>
      <c r="D58" s="689"/>
      <c r="E58" s="47"/>
    </row>
    <row r="59" spans="1:5" ht="12.75">
      <c r="A59" s="3"/>
      <c r="B59" s="5"/>
      <c r="C59" s="5"/>
      <c r="D59" s="688" t="s">
        <v>1333</v>
      </c>
      <c r="E59" s="47"/>
    </row>
    <row r="60" spans="1:5" ht="12.75">
      <c r="A60" s="3"/>
      <c r="B60" s="5"/>
      <c r="C60" s="5"/>
      <c r="D60" s="689"/>
      <c r="E60" s="47"/>
    </row>
    <row r="61" spans="1:5" ht="12.75">
      <c r="A61" s="3"/>
      <c r="B61" s="5"/>
      <c r="C61" s="5"/>
      <c r="D61" s="635" t="s">
        <v>412</v>
      </c>
      <c r="E61" s="171">
        <v>0</v>
      </c>
    </row>
    <row r="62" spans="1:5" ht="12.75">
      <c r="A62" s="3"/>
      <c r="B62" s="5"/>
      <c r="C62" s="5"/>
      <c r="D62" s="635"/>
      <c r="E62" s="47"/>
    </row>
    <row r="63" spans="1:5" ht="12.75">
      <c r="A63" s="3"/>
      <c r="B63" s="5"/>
      <c r="C63" s="5"/>
      <c r="D63" s="635"/>
      <c r="E63" s="47"/>
    </row>
    <row r="64" spans="1:5" ht="12.75">
      <c r="A64" s="2"/>
      <c r="B64" s="2"/>
      <c r="C64" s="2"/>
      <c r="D64" s="688" t="s">
        <v>1334</v>
      </c>
      <c r="E64" s="182">
        <f>E61+E62+E63</f>
        <v>0</v>
      </c>
    </row>
    <row r="65" spans="1:5" ht="12.75">
      <c r="A65" s="2"/>
      <c r="B65" s="2"/>
      <c r="C65" s="2"/>
      <c r="D65" s="689"/>
      <c r="E65" s="47"/>
    </row>
    <row r="66" spans="1:5" ht="36">
      <c r="A66" s="2"/>
      <c r="B66" s="2"/>
      <c r="C66" s="2"/>
      <c r="D66" s="366" t="s">
        <v>304</v>
      </c>
      <c r="E66" s="217">
        <f>+E64+E56+E54+E52+E46+E21+E12</f>
        <v>852088</v>
      </c>
    </row>
    <row r="67" ht="12.75">
      <c r="E67" s="330"/>
    </row>
    <row r="68" ht="12.75">
      <c r="E68" s="330"/>
    </row>
    <row r="69" ht="12.75">
      <c r="E69" s="330"/>
    </row>
    <row r="70" ht="12.75">
      <c r="E70" s="330"/>
    </row>
    <row r="71" ht="12.75">
      <c r="E71" s="330"/>
    </row>
    <row r="72" ht="12.75">
      <c r="E72" s="330"/>
    </row>
    <row r="73" ht="12.75">
      <c r="E73" s="330"/>
    </row>
    <row r="74" ht="12.75">
      <c r="E74" s="330"/>
    </row>
    <row r="75" ht="12.75">
      <c r="E75" s="330"/>
    </row>
    <row r="76" ht="12.75">
      <c r="E76" s="330"/>
    </row>
    <row r="77" ht="12.75">
      <c r="E77" s="330"/>
    </row>
    <row r="78" ht="12.75">
      <c r="E78" s="330"/>
    </row>
    <row r="79" ht="12.75">
      <c r="E79" s="330"/>
    </row>
    <row r="80" ht="12.75">
      <c r="E80" s="330"/>
    </row>
    <row r="81" ht="12.75">
      <c r="E81" s="330"/>
    </row>
    <row r="82" ht="12.75">
      <c r="E82" s="330"/>
    </row>
    <row r="83" ht="12.75">
      <c r="E83" s="330"/>
    </row>
    <row r="84" ht="12.75">
      <c r="E84" s="330"/>
    </row>
    <row r="85" ht="12.75">
      <c r="E85" s="330"/>
    </row>
    <row r="86" ht="12.75">
      <c r="E86" s="330"/>
    </row>
    <row r="87" ht="12.75">
      <c r="E87" s="330"/>
    </row>
    <row r="88" ht="12.75">
      <c r="E88" s="330"/>
    </row>
    <row r="89" ht="12.75">
      <c r="E89" s="330"/>
    </row>
    <row r="90" ht="12.75">
      <c r="E90" s="330"/>
    </row>
    <row r="91" ht="12.75">
      <c r="E91" s="330"/>
    </row>
    <row r="92" ht="12.75">
      <c r="E92" s="330"/>
    </row>
    <row r="93" ht="12.75">
      <c r="E93" s="330"/>
    </row>
    <row r="94" ht="12.75">
      <c r="E94" s="330"/>
    </row>
    <row r="95" ht="12.75">
      <c r="E95" s="330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6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34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3" width="15.57421875" style="0" customWidth="1"/>
    <col min="4" max="4" width="18.57421875" style="8" customWidth="1"/>
    <col min="5" max="5" width="13.140625" style="0" customWidth="1"/>
  </cols>
  <sheetData>
    <row r="1" spans="1:5" ht="12.75">
      <c r="A1" s="25"/>
      <c r="D1" s="1259" t="s">
        <v>1155</v>
      </c>
      <c r="E1" s="1259"/>
    </row>
    <row r="2" spans="1:3" ht="12.75">
      <c r="A2" s="25"/>
      <c r="B2" s="25"/>
      <c r="C2" s="25"/>
    </row>
    <row r="3" spans="1:3" ht="12.75">
      <c r="A3" s="1214"/>
      <c r="B3" s="1214"/>
      <c r="C3" s="1214"/>
    </row>
    <row r="4" spans="1:3" ht="12.75">
      <c r="A4" s="209"/>
      <c r="B4" s="209"/>
      <c r="C4" s="209"/>
    </row>
    <row r="5" spans="1:3" ht="12.75">
      <c r="A5" s="209"/>
      <c r="B5" s="209"/>
      <c r="C5" s="209"/>
    </row>
    <row r="6" spans="1:3" ht="12.75">
      <c r="A6" s="209"/>
      <c r="B6" s="209"/>
      <c r="C6" s="209"/>
    </row>
    <row r="7" spans="1:5" ht="18" customHeight="1">
      <c r="A7" s="1260" t="s">
        <v>1572</v>
      </c>
      <c r="B7" s="1260"/>
      <c r="C7" s="1260"/>
      <c r="D7" s="1260"/>
      <c r="E7" s="1260"/>
    </row>
    <row r="8" spans="1:5" ht="34.5" customHeight="1">
      <c r="A8" s="1260"/>
      <c r="B8" s="1260"/>
      <c r="C8" s="1260"/>
      <c r="D8" s="1260"/>
      <c r="E8" s="1260"/>
    </row>
    <row r="9" spans="1:3" ht="18">
      <c r="A9" s="36"/>
      <c r="B9" s="36"/>
      <c r="C9" s="36"/>
    </row>
    <row r="10" spans="3:5" ht="12.75">
      <c r="C10" s="1467"/>
      <c r="E10" s="1467" t="s">
        <v>161</v>
      </c>
    </row>
    <row r="11" spans="1:5" ht="15.75">
      <c r="A11" s="37" t="s">
        <v>1026</v>
      </c>
      <c r="B11" s="144" t="s">
        <v>279</v>
      </c>
      <c r="C11" s="37" t="s">
        <v>280</v>
      </c>
      <c r="D11" s="37" t="s">
        <v>1528</v>
      </c>
      <c r="E11" s="37" t="s">
        <v>1529</v>
      </c>
    </row>
    <row r="12" spans="1:5" ht="12.75">
      <c r="A12" s="1469" t="s">
        <v>281</v>
      </c>
      <c r="B12" s="1470"/>
      <c r="C12" s="1470"/>
      <c r="D12" s="1470"/>
      <c r="E12" s="1350"/>
    </row>
    <row r="13" spans="1:5" ht="12.75">
      <c r="A13" s="145" t="s">
        <v>282</v>
      </c>
      <c r="B13" s="7">
        <f>'882111-Munkanélküli ellátások'!E25</f>
        <v>6156</v>
      </c>
      <c r="C13" s="7">
        <f aca="true" t="shared" si="0" ref="C13:C18">B13</f>
        <v>6156</v>
      </c>
      <c r="D13" s="7">
        <v>2840.045</v>
      </c>
      <c r="E13" s="1129">
        <f>D13/C13</f>
        <v>0.46134584145549057</v>
      </c>
    </row>
    <row r="14" spans="1:5" ht="12.75">
      <c r="A14" s="272" t="s">
        <v>348</v>
      </c>
      <c r="B14" s="7">
        <f>'882111-Munkanélküli ellátások'!E27</f>
        <v>82080</v>
      </c>
      <c r="C14" s="7">
        <f t="shared" si="0"/>
        <v>82080</v>
      </c>
      <c r="D14" s="7">
        <v>42161.75</v>
      </c>
      <c r="E14" s="1129">
        <f aca="true" t="shared" si="1" ref="E14:E34">D14/C14</f>
        <v>0.513666544834308</v>
      </c>
    </row>
    <row r="15" spans="1:5" ht="12.75">
      <c r="A15" s="145" t="s">
        <v>888</v>
      </c>
      <c r="B15" s="7">
        <f>'882117-Rendsz.gyv.pénz.ell.'!E27</f>
        <v>5800</v>
      </c>
      <c r="C15" s="7">
        <f t="shared" si="0"/>
        <v>5800</v>
      </c>
      <c r="D15" s="7"/>
      <c r="E15" s="1129">
        <f t="shared" si="1"/>
        <v>0</v>
      </c>
    </row>
    <row r="16" spans="1:5" ht="12.75">
      <c r="A16" s="145" t="s">
        <v>283</v>
      </c>
      <c r="B16" s="7">
        <f>'-Rendsz.szoc.pénz.ell.'!E22</f>
        <v>18000</v>
      </c>
      <c r="C16" s="7">
        <f t="shared" si="0"/>
        <v>18000</v>
      </c>
      <c r="D16" s="7">
        <v>7064.68</v>
      </c>
      <c r="E16" s="1129">
        <f t="shared" si="1"/>
        <v>0.39248222222222223</v>
      </c>
    </row>
    <row r="17" spans="1:5" ht="12.75">
      <c r="A17" s="145" t="s">
        <v>285</v>
      </c>
      <c r="B17" s="39">
        <f>'882129-Öregek ebédje'!E27</f>
        <v>100</v>
      </c>
      <c r="C17" s="7">
        <f t="shared" si="0"/>
        <v>100</v>
      </c>
      <c r="D17" s="7"/>
      <c r="E17" s="1129">
        <f t="shared" si="1"/>
        <v>0</v>
      </c>
    </row>
    <row r="18" spans="1:5" ht="12.75">
      <c r="A18" s="145" t="s">
        <v>284</v>
      </c>
      <c r="B18" s="7">
        <f>'-Rendsz.szoc.pénz.ell.'!E25</f>
        <v>1888</v>
      </c>
      <c r="C18" s="7">
        <f t="shared" si="0"/>
        <v>1888</v>
      </c>
      <c r="D18" s="7">
        <v>1602.755</v>
      </c>
      <c r="E18" s="1129">
        <f t="shared" si="1"/>
        <v>0.848916843220339</v>
      </c>
    </row>
    <row r="19" spans="1:5" s="10" customFormat="1" ht="12.75">
      <c r="A19" s="46" t="s">
        <v>887</v>
      </c>
      <c r="B19" s="35">
        <f>SUM(B13:B17)</f>
        <v>112136</v>
      </c>
      <c r="C19" s="35">
        <f>SUM(C13:C17)</f>
        <v>112136</v>
      </c>
      <c r="D19" s="35">
        <f>SUM(D13:D18)</f>
        <v>53669.229999999996</v>
      </c>
      <c r="E19" s="1112">
        <f t="shared" si="1"/>
        <v>0.4786083862452736</v>
      </c>
    </row>
    <row r="20" spans="1:5" ht="12.75" customHeight="1">
      <c r="A20" s="1282"/>
      <c r="B20" s="1282"/>
      <c r="C20" s="1282"/>
      <c r="D20" s="7"/>
      <c r="E20" s="1129"/>
    </row>
    <row r="21" spans="1:5" s="10" customFormat="1" ht="12.75">
      <c r="A21" s="210" t="s">
        <v>1203</v>
      </c>
      <c r="B21" s="49">
        <f>B18*0.24</f>
        <v>453.12</v>
      </c>
      <c r="C21" s="35">
        <f>B21</f>
        <v>453.12</v>
      </c>
      <c r="D21" s="35">
        <v>0</v>
      </c>
      <c r="E21" s="1112">
        <f t="shared" si="1"/>
        <v>0</v>
      </c>
    </row>
    <row r="22" spans="1:5" ht="12.75">
      <c r="A22" s="5"/>
      <c r="B22" s="5"/>
      <c r="C22" s="5"/>
      <c r="D22" s="7"/>
      <c r="E22" s="1129"/>
    </row>
    <row r="23" spans="1:5" ht="12" customHeight="1">
      <c r="A23" s="1283" t="s">
        <v>286</v>
      </c>
      <c r="B23" s="1283"/>
      <c r="C23" s="1283"/>
      <c r="D23" s="7"/>
      <c r="E23" s="1129"/>
    </row>
    <row r="24" spans="1:5" ht="12" customHeight="1">
      <c r="A24" s="272" t="s">
        <v>915</v>
      </c>
      <c r="B24" s="566">
        <f>+'882119 - Óvodáztatási támogatás'!E6</f>
        <v>400</v>
      </c>
      <c r="C24" s="566">
        <f aca="true" t="shared" si="2" ref="C24:C29">B24</f>
        <v>400</v>
      </c>
      <c r="D24" s="7">
        <f>48+160</f>
        <v>208</v>
      </c>
      <c r="E24" s="1129">
        <f t="shared" si="1"/>
        <v>0.52</v>
      </c>
    </row>
    <row r="25" spans="1:5" ht="12" customHeight="1">
      <c r="A25" s="145" t="s">
        <v>287</v>
      </c>
      <c r="B25" s="7">
        <f>'882124-Eseti pénz.gyv.ell'!E27</f>
        <v>3600</v>
      </c>
      <c r="C25" s="566">
        <f t="shared" si="2"/>
        <v>3600</v>
      </c>
      <c r="D25" s="7">
        <f>1161+6</f>
        <v>1167</v>
      </c>
      <c r="E25" s="1129">
        <f t="shared" si="1"/>
        <v>0.32416666666666666</v>
      </c>
    </row>
    <row r="26" spans="1:5" ht="12" customHeight="1">
      <c r="A26" s="145" t="s">
        <v>1091</v>
      </c>
      <c r="B26" s="39">
        <f>'-Eseti pénz.szoc.ell.'!E40</f>
        <v>2450</v>
      </c>
      <c r="C26" s="566">
        <f t="shared" si="2"/>
        <v>2450</v>
      </c>
      <c r="D26" s="7">
        <f>1454.04-8.88+5</f>
        <v>1450.1599999999999</v>
      </c>
      <c r="E26" s="1129">
        <f t="shared" si="1"/>
        <v>0.5919020408163265</v>
      </c>
    </row>
    <row r="27" spans="1:5" ht="12" customHeight="1">
      <c r="A27" s="145" t="s">
        <v>1491</v>
      </c>
      <c r="B27" s="7">
        <f>'-Eseti pénz.szoc.ell.'!E30</f>
        <v>3006</v>
      </c>
      <c r="C27" s="566">
        <f t="shared" si="2"/>
        <v>3006</v>
      </c>
      <c r="D27" s="7">
        <v>1134</v>
      </c>
      <c r="E27" s="1129">
        <f t="shared" si="1"/>
        <v>0.3772455089820359</v>
      </c>
    </row>
    <row r="28" spans="1:5" ht="12" customHeight="1">
      <c r="A28" s="145" t="s">
        <v>966</v>
      </c>
      <c r="B28" s="7">
        <f>'-Eseti pénz.szoc.ell.'!E34</f>
        <v>750</v>
      </c>
      <c r="C28" s="566">
        <f t="shared" si="2"/>
        <v>750</v>
      </c>
      <c r="D28" s="7">
        <f>91.001</f>
        <v>91.001</v>
      </c>
      <c r="E28" s="1129">
        <f t="shared" si="1"/>
        <v>0.12133466666666667</v>
      </c>
    </row>
    <row r="29" spans="1:5" ht="12" customHeight="1">
      <c r="A29" s="145" t="s">
        <v>1323</v>
      </c>
      <c r="B29" s="7">
        <f>'-Eseti pénz.szoc.ell.'!E36</f>
        <v>400</v>
      </c>
      <c r="C29" s="566">
        <f t="shared" si="2"/>
        <v>400</v>
      </c>
      <c r="D29" s="7">
        <v>72.108</v>
      </c>
      <c r="E29" s="1129">
        <f t="shared" si="1"/>
        <v>0.18027</v>
      </c>
    </row>
    <row r="30" spans="1:5" ht="12" customHeight="1">
      <c r="A30" s="272" t="s">
        <v>1573</v>
      </c>
      <c r="B30" s="7">
        <v>0</v>
      </c>
      <c r="C30" s="566">
        <v>0</v>
      </c>
      <c r="D30" s="7">
        <v>145.35</v>
      </c>
      <c r="E30" s="1129"/>
    </row>
    <row r="31" spans="1:5" s="10" customFormat="1" ht="12.75">
      <c r="A31" s="46" t="s">
        <v>288</v>
      </c>
      <c r="B31" s="35">
        <f>SUM(B24:B28)</f>
        <v>10206</v>
      </c>
      <c r="C31" s="35">
        <f>SUM(C24:C28)</f>
        <v>10206</v>
      </c>
      <c r="D31" s="7">
        <f>SUM(D24:D30)</f>
        <v>4267.619000000001</v>
      </c>
      <c r="E31" s="1129">
        <f t="shared" si="1"/>
        <v>0.41814805016656875</v>
      </c>
    </row>
    <row r="32" spans="1:5" s="10" customFormat="1" ht="12.75">
      <c r="A32" s="46"/>
      <c r="B32" s="35"/>
      <c r="C32" s="35"/>
      <c r="D32" s="7"/>
      <c r="E32" s="1129"/>
    </row>
    <row r="33" spans="1:5" ht="12.75">
      <c r="A33" s="1282"/>
      <c r="B33" s="1282"/>
      <c r="C33" s="1282"/>
      <c r="D33" s="7"/>
      <c r="E33" s="1129"/>
    </row>
    <row r="34" spans="1:5" ht="31.5" customHeight="1">
      <c r="A34" s="356" t="s">
        <v>289</v>
      </c>
      <c r="B34" s="155">
        <f>B19+B31</f>
        <v>122342</v>
      </c>
      <c r="C34" s="155">
        <f>C19+C31</f>
        <v>122342</v>
      </c>
      <c r="D34" s="35">
        <f>D19+D21+D31</f>
        <v>57936.848999999995</v>
      </c>
      <c r="E34" s="1112">
        <f t="shared" si="1"/>
        <v>0.47356467116771017</v>
      </c>
    </row>
  </sheetData>
  <sheetProtection/>
  <mergeCells count="7">
    <mergeCell ref="A23:C23"/>
    <mergeCell ref="A33:C33"/>
    <mergeCell ref="A7:E8"/>
    <mergeCell ref="D1:E1"/>
    <mergeCell ref="A20:C20"/>
    <mergeCell ref="A3:C3"/>
    <mergeCell ref="A12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43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7109375" style="0" customWidth="1"/>
    <col min="5" max="5" width="18.00390625" style="0" customWidth="1"/>
    <col min="6" max="6" width="18.140625" style="0" customWidth="1"/>
  </cols>
  <sheetData>
    <row r="1" spans="1:6" ht="12.75">
      <c r="A1" s="25"/>
      <c r="B1" s="1281" t="s">
        <v>1582</v>
      </c>
      <c r="C1" s="1281"/>
      <c r="D1" s="1281"/>
      <c r="E1" s="1281"/>
      <c r="F1" s="1281"/>
    </row>
    <row r="2" spans="1:5" ht="12.75">
      <c r="A2" s="25"/>
      <c r="B2" s="25"/>
      <c r="C2" s="25"/>
      <c r="D2" s="25"/>
      <c r="E2" s="10"/>
    </row>
    <row r="3" spans="1:6" ht="12.75">
      <c r="A3" s="1214"/>
      <c r="B3" s="1214"/>
      <c r="C3" s="1214"/>
      <c r="D3" s="1214"/>
      <c r="E3" s="1214"/>
      <c r="F3" s="1214"/>
    </row>
    <row r="4" spans="1:5" ht="12.75">
      <c r="A4" s="209"/>
      <c r="B4" s="209"/>
      <c r="C4" s="209"/>
      <c r="D4" s="209"/>
      <c r="E4" s="209"/>
    </row>
    <row r="5" spans="1:5" ht="12.75">
      <c r="A5" s="209"/>
      <c r="B5" s="209"/>
      <c r="C5" s="209"/>
      <c r="D5" s="209"/>
      <c r="E5" s="209"/>
    </row>
    <row r="6" spans="1:5" ht="12.75">
      <c r="A6" s="209"/>
      <c r="B6" s="209"/>
      <c r="C6" s="209"/>
      <c r="D6" s="209"/>
      <c r="E6" s="209"/>
    </row>
    <row r="7" spans="1:6" ht="18">
      <c r="A7" s="1284" t="s">
        <v>290</v>
      </c>
      <c r="B7" s="1284"/>
      <c r="C7" s="1284"/>
      <c r="D7" s="1284"/>
      <c r="E7" s="1284"/>
      <c r="F7" s="1284"/>
    </row>
    <row r="8" spans="1:6" ht="18">
      <c r="A8" s="1284" t="s">
        <v>1535</v>
      </c>
      <c r="B8" s="1284"/>
      <c r="C8" s="1284"/>
      <c r="D8" s="1284"/>
      <c r="E8" s="1284"/>
      <c r="F8" s="1284"/>
    </row>
    <row r="9" spans="1:5" ht="18">
      <c r="A9" s="36"/>
      <c r="B9" s="36"/>
      <c r="C9" s="36"/>
      <c r="D9" s="36"/>
      <c r="E9" s="143"/>
    </row>
    <row r="10" spans="3:6" ht="12.75">
      <c r="C10" s="1197" t="s">
        <v>161</v>
      </c>
      <c r="D10" s="1197"/>
      <c r="E10" s="1197"/>
      <c r="F10" s="1197"/>
    </row>
    <row r="11" spans="2:6" ht="15.75">
      <c r="B11" s="37" t="s">
        <v>1026</v>
      </c>
      <c r="C11" s="144" t="s">
        <v>279</v>
      </c>
      <c r="D11" s="37" t="s">
        <v>280</v>
      </c>
      <c r="E11" s="144" t="s">
        <v>1528</v>
      </c>
      <c r="F11" s="144" t="s">
        <v>1529</v>
      </c>
    </row>
    <row r="12" spans="2:6" ht="12.75">
      <c r="B12" s="145" t="s">
        <v>291</v>
      </c>
      <c r="C12" s="39">
        <f>'841126-116-Önk. igazgatás'!E81</f>
        <v>527</v>
      </c>
      <c r="D12" s="7">
        <f aca="true" t="shared" si="0" ref="D12:D17">C12</f>
        <v>527</v>
      </c>
      <c r="E12" s="6">
        <v>0</v>
      </c>
      <c r="F12" s="1129">
        <f>E12/D12</f>
        <v>0</v>
      </c>
    </row>
    <row r="13" spans="2:6" ht="12.75">
      <c r="B13" s="145" t="s">
        <v>292</v>
      </c>
      <c r="C13" s="39">
        <f>'841126-116-Önk. igazgatás'!E82</f>
        <v>10247</v>
      </c>
      <c r="D13" s="7">
        <f>C13-3940</f>
        <v>6307</v>
      </c>
      <c r="E13" s="6">
        <v>0</v>
      </c>
      <c r="F13" s="1129">
        <f aca="true" t="shared" si="1" ref="F13:F43">E13/D13</f>
        <v>0</v>
      </c>
    </row>
    <row r="14" spans="2:6" ht="12.75">
      <c r="B14" s="145" t="s">
        <v>338</v>
      </c>
      <c r="C14" s="7">
        <f>'841126-116-Önk. igazgatás'!E83</f>
        <v>268</v>
      </c>
      <c r="D14" s="7">
        <f t="shared" si="0"/>
        <v>268</v>
      </c>
      <c r="E14" s="7">
        <v>267.65</v>
      </c>
      <c r="F14" s="1129">
        <v>1</v>
      </c>
    </row>
    <row r="15" spans="2:6" ht="12.75">
      <c r="B15" s="145" t="s">
        <v>293</v>
      </c>
      <c r="C15" s="7">
        <f>'841126-116-Önk. igazgatás'!E79</f>
        <v>0</v>
      </c>
      <c r="D15" s="7">
        <f t="shared" si="0"/>
        <v>0</v>
      </c>
      <c r="E15" s="6">
        <v>0</v>
      </c>
      <c r="F15" s="1129">
        <v>0</v>
      </c>
    </row>
    <row r="16" spans="2:6" ht="12.75">
      <c r="B16" s="149" t="s">
        <v>157</v>
      </c>
      <c r="C16" s="7">
        <f>'841126-116-Önk. igazgatás'!E80</f>
        <v>0</v>
      </c>
      <c r="D16" s="7">
        <f t="shared" si="0"/>
        <v>0</v>
      </c>
      <c r="E16" s="6">
        <v>0</v>
      </c>
      <c r="F16" s="1129">
        <v>0</v>
      </c>
    </row>
    <row r="17" spans="2:6" ht="12.75">
      <c r="B17" s="145" t="s">
        <v>1014</v>
      </c>
      <c r="C17" s="7">
        <f>'841126-116-Önk. igazgatás'!E77</f>
        <v>1300</v>
      </c>
      <c r="D17" s="7">
        <f t="shared" si="0"/>
        <v>1300</v>
      </c>
      <c r="E17" s="7">
        <v>614.274</v>
      </c>
      <c r="F17" s="1129">
        <f t="shared" si="1"/>
        <v>0.47251846153846155</v>
      </c>
    </row>
    <row r="18" spans="2:6" ht="12.75">
      <c r="B18" s="272" t="s">
        <v>1571</v>
      </c>
      <c r="C18" s="7">
        <v>0</v>
      </c>
      <c r="D18" s="7">
        <v>0</v>
      </c>
      <c r="E18" s="7">
        <v>1334.874</v>
      </c>
      <c r="F18" s="1129">
        <v>0</v>
      </c>
    </row>
    <row r="19" spans="2:6" ht="12.75">
      <c r="B19" s="272" t="s">
        <v>1570</v>
      </c>
      <c r="C19" s="7">
        <v>0</v>
      </c>
      <c r="D19" s="7">
        <v>0</v>
      </c>
      <c r="E19" s="7">
        <v>4710</v>
      </c>
      <c r="F19" s="1129">
        <v>0</v>
      </c>
    </row>
    <row r="20" spans="2:6" s="10" customFormat="1" ht="12.75">
      <c r="B20" s="210" t="s">
        <v>294</v>
      </c>
      <c r="C20" s="35">
        <f>SUM(C12:C17)</f>
        <v>12342</v>
      </c>
      <c r="D20" s="35">
        <f>SUM(D12:D17)</f>
        <v>8402</v>
      </c>
      <c r="E20" s="35">
        <f>SUM(E12:E19)</f>
        <v>6926.798</v>
      </c>
      <c r="F20" s="1129">
        <f t="shared" si="1"/>
        <v>0.8244225184479885</v>
      </c>
    </row>
    <row r="21" spans="2:6" ht="12.75">
      <c r="B21" s="272" t="s">
        <v>1276</v>
      </c>
      <c r="C21" s="7">
        <f>'841126-116-Önk. igazgatás'!E89</f>
        <v>4000</v>
      </c>
      <c r="D21" s="7">
        <f>C21</f>
        <v>4000</v>
      </c>
      <c r="E21" s="7">
        <v>4000</v>
      </c>
      <c r="F21" s="1129">
        <f t="shared" si="1"/>
        <v>1</v>
      </c>
    </row>
    <row r="22" spans="2:6" ht="12.75">
      <c r="B22" s="272" t="s">
        <v>1277</v>
      </c>
      <c r="C22" s="7">
        <f>'841126-116-Önk. igazgatás'!E90</f>
        <v>1000</v>
      </c>
      <c r="D22" s="7">
        <f aca="true" t="shared" si="2" ref="D22:D39">C22</f>
        <v>1000</v>
      </c>
      <c r="E22" s="7">
        <v>500</v>
      </c>
      <c r="F22" s="1129">
        <f t="shared" si="1"/>
        <v>0.5</v>
      </c>
    </row>
    <row r="23" spans="2:6" ht="12.75">
      <c r="B23" s="272" t="s">
        <v>1278</v>
      </c>
      <c r="C23" s="7">
        <f>'841126-116-Önk. igazgatás'!E91</f>
        <v>1000</v>
      </c>
      <c r="D23" s="7">
        <f t="shared" si="2"/>
        <v>1000</v>
      </c>
      <c r="E23" s="7"/>
      <c r="F23" s="1129">
        <f t="shared" si="1"/>
        <v>0</v>
      </c>
    </row>
    <row r="24" spans="2:6" ht="12.75">
      <c r="B24" s="149" t="s">
        <v>227</v>
      </c>
      <c r="C24" s="15">
        <f>'841126-116-Önk. igazgatás'!E93</f>
        <v>100</v>
      </c>
      <c r="D24" s="7">
        <f t="shared" si="2"/>
        <v>100</v>
      </c>
      <c r="E24" s="7">
        <v>100</v>
      </c>
      <c r="F24" s="1129">
        <f t="shared" si="1"/>
        <v>1</v>
      </c>
    </row>
    <row r="25" spans="2:6" ht="12.75">
      <c r="B25" s="149" t="s">
        <v>228</v>
      </c>
      <c r="C25" s="15">
        <f>'841126-116-Önk. igazgatás'!E94</f>
        <v>100</v>
      </c>
      <c r="D25" s="7">
        <f t="shared" si="2"/>
        <v>100</v>
      </c>
      <c r="E25" s="7">
        <v>850</v>
      </c>
      <c r="F25" s="1129">
        <f t="shared" si="1"/>
        <v>8.5</v>
      </c>
    </row>
    <row r="26" spans="2:6" ht="12.75">
      <c r="B26" s="149" t="s">
        <v>154</v>
      </c>
      <c r="C26" s="15">
        <f>'841126-116-Önk. igazgatás'!E95</f>
        <v>100</v>
      </c>
      <c r="D26" s="7">
        <f t="shared" si="2"/>
        <v>100</v>
      </c>
      <c r="E26" s="7">
        <v>50</v>
      </c>
      <c r="F26" s="1129">
        <f t="shared" si="1"/>
        <v>0.5</v>
      </c>
    </row>
    <row r="27" spans="2:6" ht="12.75">
      <c r="B27" s="149" t="s">
        <v>155</v>
      </c>
      <c r="C27" s="15">
        <f>'841126-116-Önk. igazgatás'!E96</f>
        <v>100</v>
      </c>
      <c r="D27" s="7">
        <f t="shared" si="2"/>
        <v>100</v>
      </c>
      <c r="E27" s="7"/>
      <c r="F27" s="1129">
        <f t="shared" si="1"/>
        <v>0</v>
      </c>
    </row>
    <row r="28" spans="2:6" ht="12.75">
      <c r="B28" s="149" t="s">
        <v>156</v>
      </c>
      <c r="C28" s="15">
        <f>'841126-116-Önk. igazgatás'!E97</f>
        <v>100</v>
      </c>
      <c r="D28" s="7">
        <f t="shared" si="2"/>
        <v>100</v>
      </c>
      <c r="E28" s="7"/>
      <c r="F28" s="1129">
        <f t="shared" si="1"/>
        <v>0</v>
      </c>
    </row>
    <row r="29" spans="2:6" ht="12.75">
      <c r="B29" s="149" t="s">
        <v>224</v>
      </c>
      <c r="C29" s="15">
        <f>'841126-116-Önk. igazgatás'!E99</f>
        <v>500</v>
      </c>
      <c r="D29" s="7">
        <f t="shared" si="2"/>
        <v>500</v>
      </c>
      <c r="E29" s="7">
        <f>250+130</f>
        <v>380</v>
      </c>
      <c r="F29" s="1129">
        <f t="shared" si="1"/>
        <v>0.76</v>
      </c>
    </row>
    <row r="30" spans="2:6" ht="12.75">
      <c r="B30" s="149" t="s">
        <v>1154</v>
      </c>
      <c r="C30" s="15">
        <f>'841126-116-Önk. igazgatás'!E100</f>
        <v>0</v>
      </c>
      <c r="D30" s="7">
        <f t="shared" si="2"/>
        <v>0</v>
      </c>
      <c r="E30" s="7"/>
      <c r="F30" s="1129">
        <v>0</v>
      </c>
    </row>
    <row r="31" spans="2:6" ht="12.75">
      <c r="B31" s="145" t="s">
        <v>965</v>
      </c>
      <c r="C31" s="15">
        <f>'841126-116-Önk. igazgatás'!E101</f>
        <v>600</v>
      </c>
      <c r="D31" s="7">
        <f t="shared" si="2"/>
        <v>600</v>
      </c>
      <c r="E31" s="7"/>
      <c r="F31" s="1129">
        <f t="shared" si="1"/>
        <v>0</v>
      </c>
    </row>
    <row r="32" spans="2:6" ht="12.75">
      <c r="B32" s="149" t="s">
        <v>778</v>
      </c>
      <c r="C32" s="15">
        <f>'841126-116-Önk. igazgatás'!E102</f>
        <v>60</v>
      </c>
      <c r="D32" s="7">
        <f t="shared" si="2"/>
        <v>60</v>
      </c>
      <c r="E32" s="7"/>
      <c r="F32" s="1129">
        <f t="shared" si="1"/>
        <v>0</v>
      </c>
    </row>
    <row r="33" spans="2:6" ht="12.75">
      <c r="B33" s="272" t="s">
        <v>48</v>
      </c>
      <c r="C33" s="15">
        <f>'841126-116-Önk. igazgatás'!E104</f>
        <v>10</v>
      </c>
      <c r="D33" s="7">
        <f t="shared" si="2"/>
        <v>10</v>
      </c>
      <c r="E33" s="7"/>
      <c r="F33" s="1129">
        <f t="shared" si="1"/>
        <v>0</v>
      </c>
    </row>
    <row r="34" spans="2:6" ht="12.75">
      <c r="B34" s="272" t="s">
        <v>475</v>
      </c>
      <c r="C34" s="15">
        <f>'841126-116-Önk. igazgatás'!E103</f>
        <v>0</v>
      </c>
      <c r="D34" s="7">
        <f t="shared" si="2"/>
        <v>0</v>
      </c>
      <c r="E34" s="7"/>
      <c r="F34" s="1129">
        <v>0</v>
      </c>
    </row>
    <row r="35" spans="2:6" ht="25.5">
      <c r="B35" s="400" t="s">
        <v>340</v>
      </c>
      <c r="C35" s="15">
        <f>'841126-116-Önk. igazgatás'!E106</f>
        <v>10000</v>
      </c>
      <c r="D35" s="7">
        <f t="shared" si="2"/>
        <v>10000</v>
      </c>
      <c r="E35" s="7">
        <f>795.173</f>
        <v>795.173</v>
      </c>
      <c r="F35" s="1129">
        <f t="shared" si="1"/>
        <v>0.0795173</v>
      </c>
    </row>
    <row r="36" spans="2:6" ht="12.75">
      <c r="B36" s="400" t="s">
        <v>508</v>
      </c>
      <c r="C36" s="15">
        <f>'841126-116-Önk. igazgatás'!E105</f>
        <v>0</v>
      </c>
      <c r="D36" s="7">
        <f t="shared" si="2"/>
        <v>0</v>
      </c>
      <c r="E36" s="7"/>
      <c r="F36" s="1129">
        <v>0</v>
      </c>
    </row>
    <row r="37" spans="2:6" ht="12.75">
      <c r="B37" s="400" t="s">
        <v>403</v>
      </c>
      <c r="C37" s="15">
        <v>0</v>
      </c>
      <c r="D37" s="7">
        <f t="shared" si="2"/>
        <v>0</v>
      </c>
      <c r="E37" s="7"/>
      <c r="F37" s="1129">
        <v>0</v>
      </c>
    </row>
    <row r="38" spans="2:6" ht="12.75">
      <c r="B38" s="631" t="s">
        <v>651</v>
      </c>
      <c r="C38" s="15">
        <f>'841126-116-Önk. igazgatás'!E108</f>
        <v>2941</v>
      </c>
      <c r="D38" s="7">
        <f>C38+3452+4676</f>
        <v>11069</v>
      </c>
      <c r="E38" s="7">
        <v>3500</v>
      </c>
      <c r="F38" s="1129">
        <f t="shared" si="1"/>
        <v>0.3161983919053212</v>
      </c>
    </row>
    <row r="39" spans="2:6" ht="12.75">
      <c r="B39" s="631" t="s">
        <v>605</v>
      </c>
      <c r="C39" s="15">
        <v>54000</v>
      </c>
      <c r="D39" s="7">
        <f t="shared" si="2"/>
        <v>54000</v>
      </c>
      <c r="E39" s="7">
        <v>26946</v>
      </c>
      <c r="F39" s="1129">
        <f t="shared" si="1"/>
        <v>0.499</v>
      </c>
    </row>
    <row r="40" spans="2:6" ht="12.75">
      <c r="B40" s="631" t="s">
        <v>876</v>
      </c>
      <c r="C40" s="15">
        <f>'841126-116-Önk. igazgatás'!E110</f>
        <v>15000</v>
      </c>
      <c r="D40" s="7">
        <f>C40-8444-6556</f>
        <v>0</v>
      </c>
      <c r="E40" s="7"/>
      <c r="F40" s="1129">
        <v>0</v>
      </c>
    </row>
    <row r="41" spans="2:6" ht="12.75">
      <c r="B41" s="631" t="s">
        <v>1521</v>
      </c>
      <c r="C41" s="15">
        <v>0</v>
      </c>
      <c r="D41" s="7">
        <v>200</v>
      </c>
      <c r="E41" s="7">
        <v>200</v>
      </c>
      <c r="F41" s="1129">
        <f t="shared" si="1"/>
        <v>1</v>
      </c>
    </row>
    <row r="42" spans="2:6" ht="12.75">
      <c r="B42" s="210" t="s">
        <v>295</v>
      </c>
      <c r="C42" s="35">
        <f>SUM(C21:C41)</f>
        <v>89611</v>
      </c>
      <c r="D42" s="35">
        <f>SUM(D21:D41)</f>
        <v>82939</v>
      </c>
      <c r="E42" s="35">
        <f>SUM(E21:E41)</f>
        <v>37321.172999999995</v>
      </c>
      <c r="F42" s="1129">
        <f t="shared" si="1"/>
        <v>0.44998339743667026</v>
      </c>
    </row>
    <row r="43" spans="2:6" s="30" customFormat="1" ht="15.75">
      <c r="B43" s="38" t="s">
        <v>296</v>
      </c>
      <c r="C43" s="155">
        <f>C20+C42</f>
        <v>101953</v>
      </c>
      <c r="D43" s="155">
        <f>D20+D42</f>
        <v>91341</v>
      </c>
      <c r="E43" s="1195">
        <f>E20+E42</f>
        <v>44247.971</v>
      </c>
      <c r="F43" s="1112">
        <f t="shared" si="1"/>
        <v>0.4844261722556136</v>
      </c>
    </row>
  </sheetData>
  <sheetProtection/>
  <mergeCells count="5">
    <mergeCell ref="C10:F10"/>
    <mergeCell ref="B1:F1"/>
    <mergeCell ref="A3:F3"/>
    <mergeCell ref="A8:F8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9.57421875" style="0" customWidth="1"/>
    <col min="4" max="4" width="9.00390625" style="0" customWidth="1"/>
    <col min="5" max="5" width="9.8515625" style="0" customWidth="1"/>
    <col min="6" max="6" width="9.57421875" style="0" customWidth="1"/>
  </cols>
  <sheetData>
    <row r="1" spans="1:13" ht="12.75">
      <c r="A1" s="1285" t="s">
        <v>255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</row>
    <row r="2" spans="9:12" ht="12.75">
      <c r="I2" s="27"/>
      <c r="J2" s="27"/>
      <c r="K2" s="27"/>
      <c r="L2" s="27"/>
    </row>
    <row r="3" spans="9:12" ht="12.75">
      <c r="I3" s="27"/>
      <c r="J3" s="27"/>
      <c r="K3" s="27"/>
      <c r="L3" s="27"/>
    </row>
    <row r="4" spans="1:13" ht="12.75">
      <c r="A4" s="1214" t="s">
        <v>879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</row>
    <row r="5" spans="1:12" ht="12.75">
      <c r="A5" s="20"/>
      <c r="B5" s="20"/>
      <c r="C5" s="20"/>
      <c r="D5" s="20"/>
      <c r="E5" s="20"/>
      <c r="F5" s="20"/>
      <c r="G5" s="32"/>
      <c r="H5" s="32"/>
      <c r="I5" s="32"/>
      <c r="J5" s="32"/>
      <c r="K5" s="32"/>
      <c r="L5" s="32"/>
    </row>
    <row r="6" spans="1:13" ht="31.5" customHeight="1">
      <c r="A6" s="1213" t="s">
        <v>1428</v>
      </c>
      <c r="B6" s="12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</row>
    <row r="7" spans="1:13" ht="31.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6" t="s">
        <v>161</v>
      </c>
    </row>
    <row r="8" spans="1:13" ht="282.75" customHeight="1">
      <c r="A8" s="1286" t="s">
        <v>1026</v>
      </c>
      <c r="B8" s="1287"/>
      <c r="C8" s="702" t="s">
        <v>53</v>
      </c>
      <c r="D8" s="702" t="s">
        <v>54</v>
      </c>
      <c r="E8" s="703" t="s">
        <v>797</v>
      </c>
      <c r="F8" s="702" t="s">
        <v>1034</v>
      </c>
      <c r="G8" s="702" t="s">
        <v>1037</v>
      </c>
      <c r="H8" s="703" t="s">
        <v>416</v>
      </c>
      <c r="I8" s="703" t="s">
        <v>417</v>
      </c>
      <c r="J8" s="703" t="s">
        <v>418</v>
      </c>
      <c r="K8" s="703" t="s">
        <v>419</v>
      </c>
      <c r="L8" s="703" t="s">
        <v>420</v>
      </c>
      <c r="M8" s="704" t="s">
        <v>333</v>
      </c>
    </row>
    <row r="9" spans="1:13" s="20" customFormat="1" ht="15">
      <c r="A9" s="303" t="s">
        <v>999</v>
      </c>
      <c r="B9" s="303"/>
      <c r="C9" s="301" t="s">
        <v>1030</v>
      </c>
      <c r="D9" s="301" t="s">
        <v>1032</v>
      </c>
      <c r="E9" s="301" t="s">
        <v>1032</v>
      </c>
      <c r="F9" s="301" t="s">
        <v>1035</v>
      </c>
      <c r="G9" s="301" t="s">
        <v>1035</v>
      </c>
      <c r="H9" s="302" t="s">
        <v>1035</v>
      </c>
      <c r="I9" s="301" t="s">
        <v>1431</v>
      </c>
      <c r="J9" s="301" t="s">
        <v>1431</v>
      </c>
      <c r="K9" s="301" t="s">
        <v>1431</v>
      </c>
      <c r="L9" s="301" t="s">
        <v>1432</v>
      </c>
      <c r="M9" s="301"/>
    </row>
    <row r="10" spans="1:16" s="10" customFormat="1" ht="15">
      <c r="A10" s="299" t="s">
        <v>1000</v>
      </c>
      <c r="B10" s="297"/>
      <c r="C10" s="298">
        <v>19471</v>
      </c>
      <c r="D10" s="298">
        <v>5043</v>
      </c>
      <c r="E10" s="298">
        <v>9218</v>
      </c>
      <c r="F10" s="298">
        <v>77478</v>
      </c>
      <c r="G10" s="298">
        <v>36000</v>
      </c>
      <c r="H10" s="298">
        <v>6520</v>
      </c>
      <c r="I10" s="298">
        <v>1744</v>
      </c>
      <c r="J10" s="298">
        <v>15768</v>
      </c>
      <c r="K10" s="298">
        <v>5706</v>
      </c>
      <c r="L10" s="298">
        <v>68000</v>
      </c>
      <c r="M10" s="304">
        <f aca="true" t="shared" si="0" ref="M10:M28">SUM(C10:L10)</f>
        <v>244948</v>
      </c>
      <c r="P10" s="10" t="s">
        <v>805</v>
      </c>
    </row>
    <row r="11" spans="1:18" ht="15" customHeight="1">
      <c r="A11" s="1289" t="s">
        <v>415</v>
      </c>
      <c r="B11" s="1290"/>
      <c r="C11" s="298">
        <f>SUM(C13:C27)</f>
        <v>4156.4</v>
      </c>
      <c r="D11" s="298">
        <f aca="true" t="shared" si="1" ref="D11:L11">SUM(D13:D27)</f>
        <v>322.8</v>
      </c>
      <c r="E11" s="298">
        <f t="shared" si="1"/>
        <v>546.4</v>
      </c>
      <c r="F11" s="298">
        <f t="shared" si="1"/>
        <v>25393.600000000002</v>
      </c>
      <c r="G11" s="298">
        <f t="shared" si="1"/>
        <v>12503.599999999999</v>
      </c>
      <c r="H11" s="298">
        <f t="shared" si="1"/>
        <v>2219.5999999999995</v>
      </c>
      <c r="I11" s="298">
        <f t="shared" si="1"/>
        <v>672</v>
      </c>
      <c r="J11" s="298">
        <f t="shared" si="1"/>
        <v>4504.8</v>
      </c>
      <c r="K11" s="298">
        <f t="shared" si="1"/>
        <v>1687.2000000000003</v>
      </c>
      <c r="L11" s="298">
        <f t="shared" si="1"/>
        <v>15864</v>
      </c>
      <c r="M11" s="304">
        <f t="shared" si="0"/>
        <v>67870.4</v>
      </c>
      <c r="P11" s="13" t="s">
        <v>804</v>
      </c>
      <c r="R11" s="13" t="s">
        <v>803</v>
      </c>
    </row>
    <row r="12" spans="1:18" s="13" customFormat="1" ht="15">
      <c r="A12" s="1288"/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304">
        <f t="shared" si="0"/>
        <v>0</v>
      </c>
      <c r="O12" s="13" t="s">
        <v>1032</v>
      </c>
      <c r="P12" s="60"/>
      <c r="R12" s="13">
        <v>3.9</v>
      </c>
    </row>
    <row r="13" spans="1:18" s="13" customFormat="1" ht="15">
      <c r="A13" s="1288"/>
      <c r="B13" s="297">
        <v>2013</v>
      </c>
      <c r="C13" s="298">
        <f>8*130*0.4</f>
        <v>416</v>
      </c>
      <c r="D13" s="298">
        <f>807*0.4</f>
        <v>322.8</v>
      </c>
      <c r="E13" s="298">
        <f>1366*0.4</f>
        <v>546.4</v>
      </c>
      <c r="F13" s="298">
        <f>6456*0.4</f>
        <v>2582.4</v>
      </c>
      <c r="G13" s="298">
        <f>2108*0.4</f>
        <v>843.2</v>
      </c>
      <c r="H13" s="298">
        <f>384*0.4</f>
        <v>153.60000000000002</v>
      </c>
      <c r="I13" s="298">
        <f>336*0.4</f>
        <v>134.4</v>
      </c>
      <c r="J13" s="298">
        <f>3004*0.4</f>
        <v>1201.6000000000001</v>
      </c>
      <c r="K13" s="298">
        <f>846*0.4</f>
        <v>338.40000000000003</v>
      </c>
      <c r="L13" s="298">
        <f>18421*0.4</f>
        <v>7368.400000000001</v>
      </c>
      <c r="M13" s="304">
        <f t="shared" si="0"/>
        <v>13907.2</v>
      </c>
      <c r="O13" s="13" t="s">
        <v>1035</v>
      </c>
      <c r="P13" s="60"/>
      <c r="R13" s="13">
        <v>8</v>
      </c>
    </row>
    <row r="14" spans="1:18" s="13" customFormat="1" ht="15">
      <c r="A14" s="1288"/>
      <c r="B14" s="297">
        <v>2014</v>
      </c>
      <c r="C14" s="298">
        <f aca="true" t="shared" si="2" ref="C14:C21">8*130*0.4</f>
        <v>416</v>
      </c>
      <c r="D14" s="298"/>
      <c r="E14" s="298"/>
      <c r="F14" s="298">
        <f aca="true" t="shared" si="3" ref="F14:F21">6456*0.4</f>
        <v>2582.4</v>
      </c>
      <c r="G14" s="298">
        <f>2107*0.4</f>
        <v>842.8000000000001</v>
      </c>
      <c r="H14" s="298">
        <f aca="true" t="shared" si="4" ref="H14:H26">384*0.4</f>
        <v>153.60000000000002</v>
      </c>
      <c r="I14" s="298">
        <f>336*0.4</f>
        <v>134.4</v>
      </c>
      <c r="J14" s="298">
        <f>3004*0.4</f>
        <v>1201.6000000000001</v>
      </c>
      <c r="K14" s="298">
        <f>846*0.4</f>
        <v>338.40000000000003</v>
      </c>
      <c r="L14" s="298">
        <f>17004*0.4</f>
        <v>6801.6</v>
      </c>
      <c r="M14" s="304">
        <f t="shared" si="0"/>
        <v>12470.8</v>
      </c>
      <c r="O14" s="13" t="s">
        <v>798</v>
      </c>
      <c r="P14" s="60"/>
      <c r="R14" s="13">
        <v>6.1</v>
      </c>
    </row>
    <row r="15" spans="1:16" s="13" customFormat="1" ht="15">
      <c r="A15" s="1288"/>
      <c r="B15" s="297">
        <v>2015</v>
      </c>
      <c r="C15" s="298">
        <f t="shared" si="2"/>
        <v>416</v>
      </c>
      <c r="D15" s="298"/>
      <c r="E15" s="298"/>
      <c r="F15" s="298">
        <f t="shared" si="3"/>
        <v>2582.4</v>
      </c>
      <c r="G15" s="298">
        <f>2107*0.4</f>
        <v>842.8000000000001</v>
      </c>
      <c r="H15" s="298">
        <f t="shared" si="4"/>
        <v>153.60000000000002</v>
      </c>
      <c r="I15" s="298">
        <f>336*0.4</f>
        <v>134.4</v>
      </c>
      <c r="J15" s="298">
        <f>3004*0.4</f>
        <v>1201.6000000000001</v>
      </c>
      <c r="K15" s="298">
        <f>846*0.4</f>
        <v>338.40000000000003</v>
      </c>
      <c r="L15" s="298">
        <f>4235*0.4</f>
        <v>1694</v>
      </c>
      <c r="M15" s="304">
        <f t="shared" si="0"/>
        <v>7363.2</v>
      </c>
      <c r="O15" s="13" t="s">
        <v>1431</v>
      </c>
      <c r="P15" s="60"/>
    </row>
    <row r="16" spans="1:16" s="13" customFormat="1" ht="15">
      <c r="A16" s="1288"/>
      <c r="B16" s="297">
        <v>2016</v>
      </c>
      <c r="C16" s="298">
        <f t="shared" si="2"/>
        <v>416</v>
      </c>
      <c r="D16" s="298"/>
      <c r="E16" s="298"/>
      <c r="F16" s="298">
        <f t="shared" si="3"/>
        <v>2582.4</v>
      </c>
      <c r="G16" s="298">
        <f>2108*0.4</f>
        <v>843.2</v>
      </c>
      <c r="H16" s="298">
        <f t="shared" si="4"/>
        <v>153.60000000000002</v>
      </c>
      <c r="I16" s="298">
        <f>336*0.4</f>
        <v>134.4</v>
      </c>
      <c r="J16" s="298">
        <f>2250*0.4</f>
        <v>900</v>
      </c>
      <c r="K16" s="298">
        <f>846*0.4</f>
        <v>338.40000000000003</v>
      </c>
      <c r="L16" s="298"/>
      <c r="M16" s="304">
        <f t="shared" si="0"/>
        <v>5368</v>
      </c>
      <c r="O16" s="13" t="s">
        <v>1432</v>
      </c>
      <c r="P16" s="60"/>
    </row>
    <row r="17" spans="1:16" s="13" customFormat="1" ht="15">
      <c r="A17" s="1288"/>
      <c r="B17" s="297">
        <v>2017</v>
      </c>
      <c r="C17" s="298">
        <f t="shared" si="2"/>
        <v>416</v>
      </c>
      <c r="D17" s="298"/>
      <c r="E17" s="298"/>
      <c r="F17" s="298">
        <f t="shared" si="3"/>
        <v>2582.4</v>
      </c>
      <c r="G17" s="298">
        <f>2107*0.4</f>
        <v>842.8000000000001</v>
      </c>
      <c r="H17" s="298">
        <f t="shared" si="4"/>
        <v>153.60000000000002</v>
      </c>
      <c r="I17" s="298">
        <f>336*0.4</f>
        <v>134.4</v>
      </c>
      <c r="J17" s="298"/>
      <c r="K17" s="298">
        <f>834*0.4</f>
        <v>333.6</v>
      </c>
      <c r="L17" s="298"/>
      <c r="M17" s="304">
        <f t="shared" si="0"/>
        <v>4462.8</v>
      </c>
      <c r="O17" s="13" t="s">
        <v>1433</v>
      </c>
      <c r="P17" s="60"/>
    </row>
    <row r="18" spans="1:15" s="13" customFormat="1" ht="15">
      <c r="A18" s="1288"/>
      <c r="B18" s="297">
        <v>2018</v>
      </c>
      <c r="C18" s="298">
        <f t="shared" si="2"/>
        <v>416</v>
      </c>
      <c r="D18" s="298"/>
      <c r="E18" s="298"/>
      <c r="F18" s="298">
        <f t="shared" si="3"/>
        <v>2582.4</v>
      </c>
      <c r="G18" s="298">
        <f>2107*0.4</f>
        <v>842.8000000000001</v>
      </c>
      <c r="H18" s="298">
        <f t="shared" si="4"/>
        <v>153.60000000000002</v>
      </c>
      <c r="I18" s="298"/>
      <c r="J18" s="298"/>
      <c r="K18" s="298"/>
      <c r="L18" s="298"/>
      <c r="M18" s="304">
        <f t="shared" si="0"/>
        <v>3994.8</v>
      </c>
      <c r="O18" s="13" t="s">
        <v>799</v>
      </c>
    </row>
    <row r="19" spans="1:15" s="13" customFormat="1" ht="15">
      <c r="A19" s="1288"/>
      <c r="B19" s="297">
        <v>2019</v>
      </c>
      <c r="C19" s="298">
        <f t="shared" si="2"/>
        <v>416</v>
      </c>
      <c r="D19" s="298"/>
      <c r="E19" s="298"/>
      <c r="F19" s="298">
        <f t="shared" si="3"/>
        <v>2582.4</v>
      </c>
      <c r="G19" s="298">
        <f>2108*0.4</f>
        <v>843.2</v>
      </c>
      <c r="H19" s="298">
        <f t="shared" si="4"/>
        <v>153.60000000000002</v>
      </c>
      <c r="I19" s="298"/>
      <c r="J19" s="298"/>
      <c r="K19" s="298"/>
      <c r="L19" s="298"/>
      <c r="M19" s="304">
        <f t="shared" si="0"/>
        <v>3995.2000000000003</v>
      </c>
      <c r="O19" s="13" t="s">
        <v>1033</v>
      </c>
    </row>
    <row r="20" spans="1:15" s="13" customFormat="1" ht="15">
      <c r="A20" s="1288"/>
      <c r="B20" s="297">
        <v>2020</v>
      </c>
      <c r="C20" s="298">
        <f t="shared" si="2"/>
        <v>416</v>
      </c>
      <c r="D20" s="298"/>
      <c r="E20" s="298"/>
      <c r="F20" s="298">
        <f t="shared" si="3"/>
        <v>2582.4</v>
      </c>
      <c r="G20" s="298">
        <f>2107*0.4</f>
        <v>842.8000000000001</v>
      </c>
      <c r="H20" s="298">
        <f t="shared" si="4"/>
        <v>153.60000000000002</v>
      </c>
      <c r="I20" s="298"/>
      <c r="J20" s="298"/>
      <c r="K20" s="298"/>
      <c r="L20" s="298"/>
      <c r="M20" s="304">
        <f t="shared" si="0"/>
        <v>3994.8</v>
      </c>
      <c r="O20" s="13" t="s">
        <v>800</v>
      </c>
    </row>
    <row r="21" spans="1:18" s="30" customFormat="1" ht="15.75">
      <c r="A21" s="1288"/>
      <c r="B21" s="297">
        <v>2021</v>
      </c>
      <c r="C21" s="298">
        <f t="shared" si="2"/>
        <v>416</v>
      </c>
      <c r="D21" s="298"/>
      <c r="E21" s="298"/>
      <c r="F21" s="298">
        <f t="shared" si="3"/>
        <v>2582.4</v>
      </c>
      <c r="G21" s="298">
        <f>2107*0.4</f>
        <v>842.8000000000001</v>
      </c>
      <c r="H21" s="298">
        <f t="shared" si="4"/>
        <v>153.60000000000002</v>
      </c>
      <c r="I21" s="298"/>
      <c r="J21" s="298"/>
      <c r="K21" s="298"/>
      <c r="L21" s="298"/>
      <c r="M21" s="304">
        <f t="shared" si="0"/>
        <v>3994.8</v>
      </c>
      <c r="O21" s="13" t="s">
        <v>801</v>
      </c>
      <c r="R21" s="13"/>
    </row>
    <row r="22" spans="1:18" ht="15">
      <c r="A22" s="1288"/>
      <c r="B22" s="297">
        <v>2022</v>
      </c>
      <c r="C22" s="298">
        <f>1031*0.4</f>
        <v>412.40000000000003</v>
      </c>
      <c r="D22" s="298"/>
      <c r="E22" s="298"/>
      <c r="F22" s="298">
        <f>5380*0.4</f>
        <v>2152</v>
      </c>
      <c r="G22" s="298">
        <f>2108*0.4</f>
        <v>843.2</v>
      </c>
      <c r="H22" s="298">
        <f t="shared" si="4"/>
        <v>153.60000000000002</v>
      </c>
      <c r="I22" s="298"/>
      <c r="J22" s="298"/>
      <c r="K22" s="298"/>
      <c r="L22" s="298"/>
      <c r="M22" s="304">
        <f t="shared" si="0"/>
        <v>3561.2000000000003</v>
      </c>
      <c r="O22" s="13" t="s">
        <v>802</v>
      </c>
      <c r="R22" s="13"/>
    </row>
    <row r="23" spans="1:18" ht="15">
      <c r="A23" s="1288"/>
      <c r="B23" s="297">
        <v>2023</v>
      </c>
      <c r="C23" s="298"/>
      <c r="D23" s="298"/>
      <c r="E23" s="298"/>
      <c r="F23" s="298"/>
      <c r="G23" s="298">
        <f>2107*0.4</f>
        <v>842.8000000000001</v>
      </c>
      <c r="H23" s="298">
        <f t="shared" si="4"/>
        <v>153.60000000000002</v>
      </c>
      <c r="I23" s="298"/>
      <c r="J23" s="298"/>
      <c r="K23" s="298"/>
      <c r="L23" s="298"/>
      <c r="M23" s="304">
        <f t="shared" si="0"/>
        <v>996.4000000000001</v>
      </c>
      <c r="O23" s="13" t="s">
        <v>1429</v>
      </c>
      <c r="R23" s="13"/>
    </row>
    <row r="24" spans="1:13" ht="15">
      <c r="A24" s="1288"/>
      <c r="B24" s="297">
        <v>2024</v>
      </c>
      <c r="C24" s="298"/>
      <c r="D24" s="298"/>
      <c r="E24" s="298"/>
      <c r="F24" s="298"/>
      <c r="G24" s="298">
        <f>2107*0.4</f>
        <v>842.8000000000001</v>
      </c>
      <c r="H24" s="298">
        <f t="shared" si="4"/>
        <v>153.60000000000002</v>
      </c>
      <c r="I24" s="298"/>
      <c r="J24" s="298"/>
      <c r="K24" s="298"/>
      <c r="L24" s="298"/>
      <c r="M24" s="304">
        <f t="shared" si="0"/>
        <v>996.4000000000001</v>
      </c>
    </row>
    <row r="25" spans="1:13" ht="15">
      <c r="A25" s="1288"/>
      <c r="B25" s="297">
        <v>2025</v>
      </c>
      <c r="C25" s="298"/>
      <c r="D25" s="298"/>
      <c r="E25" s="298"/>
      <c r="F25" s="298"/>
      <c r="G25" s="298">
        <f>2108*0.4</f>
        <v>843.2</v>
      </c>
      <c r="H25" s="298">
        <f t="shared" si="4"/>
        <v>153.60000000000002</v>
      </c>
      <c r="I25" s="298"/>
      <c r="J25" s="298"/>
      <c r="K25" s="298"/>
      <c r="L25" s="298"/>
      <c r="M25" s="304">
        <f t="shared" si="0"/>
        <v>996.8000000000001</v>
      </c>
    </row>
    <row r="26" spans="1:13" ht="15">
      <c r="A26" s="1288"/>
      <c r="B26" s="297">
        <v>2026</v>
      </c>
      <c r="C26" s="298"/>
      <c r="D26" s="298"/>
      <c r="E26" s="298"/>
      <c r="F26" s="298"/>
      <c r="G26" s="298">
        <f>2107*0.4</f>
        <v>842.8000000000001</v>
      </c>
      <c r="H26" s="298">
        <f t="shared" si="4"/>
        <v>153.60000000000002</v>
      </c>
      <c r="I26" s="298"/>
      <c r="J26" s="298"/>
      <c r="K26" s="298"/>
      <c r="L26" s="298"/>
      <c r="M26" s="304">
        <f t="shared" si="0"/>
        <v>996.4000000000001</v>
      </c>
    </row>
    <row r="27" spans="1:13" ht="15">
      <c r="A27" s="1288"/>
      <c r="B27" s="297">
        <v>2027</v>
      </c>
      <c r="C27" s="298"/>
      <c r="D27" s="298"/>
      <c r="E27" s="298"/>
      <c r="F27" s="298"/>
      <c r="G27" s="298">
        <f>1756*0.4</f>
        <v>702.4000000000001</v>
      </c>
      <c r="H27" s="298">
        <f>173*0.4</f>
        <v>69.2</v>
      </c>
      <c r="I27" s="298"/>
      <c r="J27" s="298"/>
      <c r="K27" s="298"/>
      <c r="L27" s="298"/>
      <c r="M27" s="304">
        <f t="shared" si="0"/>
        <v>771.6000000000001</v>
      </c>
    </row>
    <row r="28" spans="1:13" ht="15">
      <c r="A28" s="1288"/>
      <c r="B28" s="299" t="s">
        <v>1027</v>
      </c>
      <c r="C28" s="298">
        <f aca="true" t="shared" si="5" ref="C28:L28">SUM(C12:C27)</f>
        <v>4156.4</v>
      </c>
      <c r="D28" s="298">
        <f t="shared" si="5"/>
        <v>322.8</v>
      </c>
      <c r="E28" s="298">
        <f t="shared" si="5"/>
        <v>546.4</v>
      </c>
      <c r="F28" s="298">
        <f t="shared" si="5"/>
        <v>25393.600000000002</v>
      </c>
      <c r="G28" s="298">
        <f t="shared" si="5"/>
        <v>12503.599999999999</v>
      </c>
      <c r="H28" s="298">
        <f t="shared" si="5"/>
        <v>2219.5999999999995</v>
      </c>
      <c r="I28" s="298">
        <f t="shared" si="5"/>
        <v>672</v>
      </c>
      <c r="J28" s="298">
        <f t="shared" si="5"/>
        <v>4504.8</v>
      </c>
      <c r="K28" s="298">
        <f t="shared" si="5"/>
        <v>1687.2000000000003</v>
      </c>
      <c r="L28" s="298">
        <f t="shared" si="5"/>
        <v>15864</v>
      </c>
      <c r="M28" s="304">
        <f t="shared" si="0"/>
        <v>67870.4</v>
      </c>
    </row>
    <row r="29" spans="1:13" ht="15">
      <c r="A29" s="701" t="s">
        <v>997</v>
      </c>
      <c r="B29" s="300"/>
      <c r="C29" s="301" t="s">
        <v>1031</v>
      </c>
      <c r="D29" s="301" t="s">
        <v>1033</v>
      </c>
      <c r="E29" s="301" t="s">
        <v>1033</v>
      </c>
      <c r="F29" s="301" t="s">
        <v>1036</v>
      </c>
      <c r="G29" s="301" t="s">
        <v>1427</v>
      </c>
      <c r="H29" s="301" t="s">
        <v>1427</v>
      </c>
      <c r="I29" s="301" t="s">
        <v>1429</v>
      </c>
      <c r="J29" s="301" t="s">
        <v>802</v>
      </c>
      <c r="K29" s="301" t="s">
        <v>1429</v>
      </c>
      <c r="L29" s="301" t="s">
        <v>801</v>
      </c>
      <c r="M29" s="301"/>
    </row>
    <row r="30" spans="2:13" s="20" customFormat="1" ht="12.75">
      <c r="B30"/>
      <c r="C30"/>
      <c r="D30"/>
      <c r="E30"/>
      <c r="F30"/>
      <c r="G30"/>
      <c r="H30"/>
      <c r="I30"/>
      <c r="J30"/>
      <c r="K30"/>
      <c r="L30"/>
      <c r="M30"/>
    </row>
    <row r="31" spans="4:12" ht="12.75">
      <c r="D31" s="13"/>
      <c r="E31" s="13"/>
      <c r="F31" s="13"/>
      <c r="G31" s="13"/>
      <c r="H31" s="13"/>
      <c r="I31" s="13"/>
      <c r="J31" s="13"/>
      <c r="K31" s="13"/>
      <c r="L31" s="13"/>
    </row>
  </sheetData>
  <sheetProtection/>
  <mergeCells count="6">
    <mergeCell ref="A1:M1"/>
    <mergeCell ref="A8:B8"/>
    <mergeCell ref="A12:A28"/>
    <mergeCell ref="A11:B11"/>
    <mergeCell ref="A6:M6"/>
    <mergeCell ref="A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Csenei Áron</cp:lastModifiedBy>
  <cp:lastPrinted>2013-09-04T12:27:34Z</cp:lastPrinted>
  <dcterms:created xsi:type="dcterms:W3CDTF">2005-12-29T10:12:48Z</dcterms:created>
  <dcterms:modified xsi:type="dcterms:W3CDTF">2013-09-04T12:31:05Z</dcterms:modified>
  <cp:category/>
  <cp:version/>
  <cp:contentType/>
  <cp:contentStatus/>
</cp:coreProperties>
</file>